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O:\Policy\Audit Program\2017-18 Audit Program\2017-18 Revisions\"/>
    </mc:Choice>
  </mc:AlternateContent>
  <bookViews>
    <workbookView xWindow="0" yWindow="0" windowWidth="16452" windowHeight="9936" tabRatio="601"/>
  </bookViews>
  <sheets>
    <sheet name="Summary" sheetId="5" r:id="rId1"/>
    <sheet name="Lincoln" sheetId="1" r:id="rId2"/>
    <sheet name="Washington" sheetId="2" r:id="rId3"/>
  </sheets>
  <externalReferences>
    <externalReference r:id="rId4"/>
  </externalReferences>
  <definedNames>
    <definedName name="_xlnm.Print_Area" localSheetId="1">Lincoln!$A$1:$M$46</definedName>
    <definedName name="_xlnm.Print_Area" localSheetId="2">Washington!$A$1:$M$41</definedName>
  </definedNames>
  <calcPr calcId="152511"/>
</workbook>
</file>

<file path=xl/calcChain.xml><?xml version="1.0" encoding="utf-8"?>
<calcChain xmlns="http://schemas.openxmlformats.org/spreadsheetml/2006/main">
  <c r="C50" i="2" l="1"/>
  <c r="E34" i="1"/>
  <c r="E34" i="2" l="1"/>
  <c r="I34" i="2"/>
  <c r="K9" i="1" l="1"/>
  <c r="K10" i="1"/>
  <c r="K11" i="1"/>
  <c r="K12" i="1"/>
  <c r="K13" i="1"/>
  <c r="K14" i="1"/>
  <c r="K15" i="1"/>
  <c r="K16" i="1"/>
  <c r="K17" i="1"/>
  <c r="K8" i="1"/>
  <c r="G9" i="1"/>
  <c r="G10" i="1"/>
  <c r="G11" i="1"/>
  <c r="G12" i="1"/>
  <c r="G13" i="1"/>
  <c r="G14" i="1"/>
  <c r="G15" i="1"/>
  <c r="G16" i="1"/>
  <c r="G17" i="1"/>
  <c r="G8" i="1"/>
  <c r="K19" i="2"/>
  <c r="K18" i="2"/>
  <c r="K17" i="2"/>
  <c r="K16" i="2"/>
  <c r="K15" i="2"/>
  <c r="K14" i="2"/>
  <c r="K13" i="2"/>
  <c r="K12" i="2"/>
  <c r="K11" i="2"/>
  <c r="K10" i="2"/>
  <c r="K9" i="2"/>
  <c r="K8" i="2"/>
  <c r="G9" i="2"/>
  <c r="G10" i="2"/>
  <c r="G11" i="2"/>
  <c r="G12" i="2"/>
  <c r="G13" i="2"/>
  <c r="G14" i="2"/>
  <c r="G15" i="2"/>
  <c r="G16" i="2"/>
  <c r="G17" i="2"/>
  <c r="G18" i="2"/>
  <c r="G19" i="2"/>
  <c r="G8" i="2"/>
  <c r="E8" i="1" l="1"/>
  <c r="E9" i="1"/>
  <c r="E10" i="1"/>
  <c r="I10" i="1" s="1"/>
  <c r="E11" i="1"/>
  <c r="E12" i="1"/>
  <c r="E13" i="1"/>
  <c r="I13" i="1" s="1"/>
  <c r="E14" i="1"/>
  <c r="I14" i="1" s="1"/>
  <c r="E15" i="1"/>
  <c r="E16" i="1"/>
  <c r="E17" i="1"/>
  <c r="I17" i="1" s="1"/>
  <c r="D19" i="1"/>
  <c r="G19" i="1"/>
  <c r="E21" i="1"/>
  <c r="F21" i="1" s="1"/>
  <c r="E26" i="1"/>
  <c r="F26" i="1" s="1"/>
  <c r="K19" i="1"/>
  <c r="E32" i="1"/>
  <c r="I32" i="1"/>
  <c r="K21" i="2"/>
  <c r="D21" i="2"/>
  <c r="G21" i="2"/>
  <c r="E28" i="2"/>
  <c r="F28" i="2" s="1"/>
  <c r="J28" i="2" s="1"/>
  <c r="F23" i="2"/>
  <c r="E12" i="2"/>
  <c r="I12" i="2" s="1"/>
  <c r="E15" i="2"/>
  <c r="I15" i="2" s="1"/>
  <c r="E8" i="2"/>
  <c r="E9" i="2"/>
  <c r="E10" i="2"/>
  <c r="I10" i="2" s="1"/>
  <c r="M10" i="2" s="1"/>
  <c r="E11" i="2"/>
  <c r="E13" i="2"/>
  <c r="I13" i="2" s="1"/>
  <c r="J13" i="2" s="1"/>
  <c r="E14" i="2"/>
  <c r="E16" i="2"/>
  <c r="I16" i="2" s="1"/>
  <c r="J16" i="2" s="1"/>
  <c r="F16" i="2"/>
  <c r="E17" i="2"/>
  <c r="E18" i="2"/>
  <c r="I18" i="2" s="1"/>
  <c r="M18" i="2" s="1"/>
  <c r="E19" i="2"/>
  <c r="I19" i="2" s="1"/>
  <c r="J19" i="2" s="1"/>
  <c r="J10" i="2"/>
  <c r="F14" i="1" l="1"/>
  <c r="M16" i="2"/>
  <c r="J18" i="2"/>
  <c r="J17" i="1"/>
  <c r="M17" i="1"/>
  <c r="J13" i="1"/>
  <c r="M13" i="1"/>
  <c r="F13" i="1"/>
  <c r="J14" i="1"/>
  <c r="M14" i="1"/>
  <c r="J10" i="1"/>
  <c r="M10" i="1"/>
  <c r="F17" i="1"/>
  <c r="F15" i="1"/>
  <c r="I15" i="1"/>
  <c r="F9" i="1"/>
  <c r="I9" i="1"/>
  <c r="F10" i="1"/>
  <c r="F16" i="1"/>
  <c r="I16" i="1"/>
  <c r="F12" i="1"/>
  <c r="I12" i="1"/>
  <c r="G26" i="1"/>
  <c r="G28" i="1" s="1"/>
  <c r="J9" i="5" s="1"/>
  <c r="F11" i="1"/>
  <c r="I11" i="1"/>
  <c r="F8" i="1"/>
  <c r="I8" i="1"/>
  <c r="F9" i="2"/>
  <c r="I9" i="2"/>
  <c r="F17" i="2"/>
  <c r="I17" i="2"/>
  <c r="F14" i="2"/>
  <c r="I14" i="2"/>
  <c r="F11" i="2"/>
  <c r="I11" i="2"/>
  <c r="F8" i="2"/>
  <c r="I8" i="2"/>
  <c r="J8" i="2" s="1"/>
  <c r="M13" i="2"/>
  <c r="F19" i="2"/>
  <c r="F13" i="2"/>
  <c r="F12" i="2"/>
  <c r="M19" i="2"/>
  <c r="F10" i="2"/>
  <c r="F18" i="2"/>
  <c r="M8" i="2"/>
  <c r="F15" i="2"/>
  <c r="K23" i="2"/>
  <c r="K25" i="2" s="1"/>
  <c r="M12" i="5" s="1"/>
  <c r="I23" i="2"/>
  <c r="K28" i="2"/>
  <c r="K30" i="2" s="1"/>
  <c r="G28" i="2"/>
  <c r="G30" i="2" s="1"/>
  <c r="J12" i="5" s="1"/>
  <c r="I28" i="2"/>
  <c r="I26" i="1"/>
  <c r="K26" i="1"/>
  <c r="K28" i="1" s="1"/>
  <c r="J26" i="1"/>
  <c r="G23" i="2"/>
  <c r="G25" i="2" s="1"/>
  <c r="E21" i="2"/>
  <c r="J21" i="1"/>
  <c r="K21" i="1"/>
  <c r="K23" i="1" s="1"/>
  <c r="M9" i="5" s="1"/>
  <c r="G21" i="1"/>
  <c r="G23" i="1" s="1"/>
  <c r="I21" i="1"/>
  <c r="J23" i="2"/>
  <c r="J12" i="2"/>
  <c r="M12" i="2"/>
  <c r="E19" i="1"/>
  <c r="J8" i="1" l="1"/>
  <c r="M8" i="1"/>
  <c r="F19" i="1"/>
  <c r="F28" i="1" s="1"/>
  <c r="I9" i="5" s="1"/>
  <c r="F21" i="2"/>
  <c r="F25" i="2" s="1"/>
  <c r="M15" i="1"/>
  <c r="J15" i="1"/>
  <c r="M11" i="1"/>
  <c r="J11" i="1"/>
  <c r="J9" i="1"/>
  <c r="M9" i="1"/>
  <c r="M16" i="1"/>
  <c r="J16" i="1"/>
  <c r="M12" i="1"/>
  <c r="J12" i="1"/>
  <c r="I21" i="2"/>
  <c r="I25" i="2" s="1"/>
  <c r="J9" i="2"/>
  <c r="M9" i="2"/>
  <c r="J11" i="2"/>
  <c r="M11" i="2"/>
  <c r="G30" i="1"/>
  <c r="G34" i="1" s="1"/>
  <c r="G9" i="5"/>
  <c r="G12" i="5"/>
  <c r="G32" i="2"/>
  <c r="G36" i="2" s="1"/>
  <c r="I19" i="1"/>
  <c r="M18" i="5"/>
  <c r="M22" i="5" s="1"/>
  <c r="E23" i="1"/>
  <c r="E28" i="1"/>
  <c r="J14" i="2"/>
  <c r="M14" i="2"/>
  <c r="P9" i="5"/>
  <c r="K30" i="1"/>
  <c r="K34" i="1" s="1"/>
  <c r="K32" i="2"/>
  <c r="K36" i="2" s="1"/>
  <c r="P12" i="5"/>
  <c r="E25" i="2"/>
  <c r="E30" i="2"/>
  <c r="J17" i="2"/>
  <c r="M17" i="2"/>
  <c r="J15" i="2"/>
  <c r="M15" i="2"/>
  <c r="J18" i="5"/>
  <c r="J22" i="5" s="1"/>
  <c r="F23" i="1" l="1"/>
  <c r="F30" i="1" s="1"/>
  <c r="F34" i="1" s="1"/>
  <c r="E30" i="1"/>
  <c r="F30" i="2"/>
  <c r="I12" i="5" s="1"/>
  <c r="I18" i="5" s="1"/>
  <c r="I22" i="5" s="1"/>
  <c r="I30" i="2"/>
  <c r="M19" i="1"/>
  <c r="M21" i="2"/>
  <c r="P18" i="5"/>
  <c r="P22" i="5" s="1"/>
  <c r="E32" i="2"/>
  <c r="E36" i="2" s="1"/>
  <c r="F12" i="5"/>
  <c r="I28" i="1"/>
  <c r="I23" i="1"/>
  <c r="M23" i="1" s="1"/>
  <c r="M25" i="2"/>
  <c r="J19" i="1"/>
  <c r="J21" i="2"/>
  <c r="G18" i="5"/>
  <c r="G22" i="5" s="1"/>
  <c r="F9" i="5" l="1"/>
  <c r="F18" i="5" s="1"/>
  <c r="M30" i="2"/>
  <c r="I32" i="2"/>
  <c r="I36" i="2" s="1"/>
  <c r="F32" i="2"/>
  <c r="F36" i="2" s="1"/>
  <c r="F22" i="5"/>
  <c r="J30" i="2"/>
  <c r="J25" i="2"/>
  <c r="L12" i="5" s="1"/>
  <c r="I30" i="1"/>
  <c r="I34" i="1" s="1"/>
  <c r="M28" i="1"/>
  <c r="J28" i="1"/>
  <c r="J23" i="1"/>
  <c r="L9" i="5" s="1"/>
  <c r="J30" i="1" l="1"/>
  <c r="J34" i="1" s="1"/>
  <c r="M34" i="1" s="1"/>
  <c r="S9" i="5" s="1"/>
  <c r="O9" i="5"/>
  <c r="O12" i="5"/>
  <c r="R12" i="5" s="1"/>
  <c r="J32" i="2"/>
  <c r="J36" i="2" s="1"/>
  <c r="M36" i="2" s="1"/>
  <c r="S12" i="5" s="1"/>
  <c r="L18" i="5"/>
  <c r="L22" i="5" s="1"/>
  <c r="O18" i="5" l="1"/>
  <c r="O22" i="5" s="1"/>
  <c r="R9" i="5"/>
  <c r="R18" i="5" s="1"/>
  <c r="R22" i="5" s="1"/>
  <c r="S18" i="5"/>
  <c r="S22" i="5" l="1"/>
</calcChain>
</file>

<file path=xl/sharedStrings.xml><?xml version="1.0" encoding="utf-8"?>
<sst xmlns="http://schemas.openxmlformats.org/spreadsheetml/2006/main" count="136" uniqueCount="88">
  <si>
    <t>Teacher Name</t>
  </si>
  <si>
    <t>School-based Calculation of Title 1 and All Other Federal Program Salaries</t>
  </si>
  <si>
    <t>Totals (Line A)</t>
  </si>
  <si>
    <t>Other Federal Programs Salaires ( Line A*Line D)</t>
  </si>
  <si>
    <t>Jane Doe</t>
  </si>
  <si>
    <t>John Smith</t>
  </si>
  <si>
    <t>Dave Jones</t>
  </si>
  <si>
    <t>Brenda Williams</t>
  </si>
  <si>
    <t>Susan Smith</t>
  </si>
  <si>
    <t>Nancy Scott</t>
  </si>
  <si>
    <t>Pat Bossio</t>
  </si>
  <si>
    <t>Cindy Martin</t>
  </si>
  <si>
    <t>Frank Dennis</t>
  </si>
  <si>
    <t>Bruce Johnson</t>
  </si>
  <si>
    <t>School</t>
  </si>
  <si>
    <t>All Other Federal Program Salaries</t>
  </si>
  <si>
    <t>Contractual Salaries for TPAF Reimbursement</t>
  </si>
  <si>
    <t>Lincoln</t>
  </si>
  <si>
    <t>Washington</t>
  </si>
  <si>
    <t>Totals</t>
  </si>
  <si>
    <t>Rates</t>
  </si>
  <si>
    <t>Total Due</t>
  </si>
  <si>
    <t>Total Reimbursement due DOE related to WSR</t>
  </si>
  <si>
    <t>Brian Smith</t>
  </si>
  <si>
    <t>Marc Williams</t>
  </si>
  <si>
    <t>Lisa Jones</t>
  </si>
  <si>
    <t>Susan Johnson</t>
  </si>
  <si>
    <t>Jenna Mutnick</t>
  </si>
  <si>
    <t>Bill Anderson</t>
  </si>
  <si>
    <t>Janet Arnold</t>
  </si>
  <si>
    <t>Barbara Pfeifer</t>
  </si>
  <si>
    <t>Patricia Immordino</t>
  </si>
  <si>
    <t>Jim Smith</t>
  </si>
  <si>
    <t>John Jones</t>
  </si>
  <si>
    <t>School:  Washington</t>
  </si>
  <si>
    <t>School:  Lincoln</t>
  </si>
  <si>
    <t>*</t>
  </si>
  <si>
    <t>Reimbursements by School</t>
  </si>
  <si>
    <t>C</t>
  </si>
  <si>
    <t>B</t>
  </si>
  <si>
    <t>A</t>
  </si>
  <si>
    <t>D</t>
  </si>
  <si>
    <t>E</t>
  </si>
  <si>
    <t>F</t>
  </si>
  <si>
    <t>N1</t>
  </si>
  <si>
    <t>N2</t>
  </si>
  <si>
    <t>N3</t>
  </si>
  <si>
    <t>N4</t>
  </si>
  <si>
    <t>N5</t>
  </si>
  <si>
    <t>This calculation needs to be completed for each school in WSR and blending resources</t>
  </si>
  <si>
    <r>
      <t xml:space="preserve">Rates are obtained from the current year </t>
    </r>
    <r>
      <rPr>
        <i/>
        <sz val="10"/>
        <rFont val="Arial"/>
        <family val="2"/>
      </rPr>
      <t>Schedule of Expenditures Allocated by Resource Type</t>
    </r>
    <r>
      <rPr>
        <sz val="10"/>
        <rFont val="Arial"/>
        <family val="2"/>
      </rPr>
      <t xml:space="preserve"> for the applicable school.</t>
    </r>
  </si>
  <si>
    <t>to Calculate DOE Reimbursement in Compliance with NJSA 18A:66-90 (N1)</t>
  </si>
  <si>
    <t xml:space="preserve">SBB TPAF and FICA Calculation to Comply with NJSA 18A:66-90 </t>
  </si>
  <si>
    <t>II-20.3</t>
  </si>
  <si>
    <t>II-20.3a</t>
  </si>
  <si>
    <t>II-20.3b</t>
  </si>
  <si>
    <t>***</t>
  </si>
  <si>
    <r>
      <t xml:space="preserve">Other Federal Programs Rate </t>
    </r>
    <r>
      <rPr>
        <b/>
        <sz val="10"/>
        <rFont val="Arial"/>
        <family val="2"/>
      </rPr>
      <t>*</t>
    </r>
    <r>
      <rPr>
        <sz val="10"/>
        <rFont val="Arial"/>
        <family val="2"/>
      </rPr>
      <t xml:space="preserve"> (Line D)</t>
    </r>
  </si>
  <si>
    <t>Title I Salaries</t>
  </si>
  <si>
    <r>
      <t xml:space="preserve">Title I Rate </t>
    </r>
    <r>
      <rPr>
        <b/>
        <sz val="10"/>
        <rFont val="Arial"/>
        <family val="2"/>
      </rPr>
      <t>*</t>
    </r>
    <r>
      <rPr>
        <sz val="10"/>
        <rFont val="Arial"/>
        <family val="2"/>
      </rPr>
      <t xml:space="preserve"> (Line B)</t>
    </r>
  </si>
  <si>
    <t>Title I Salaries (Line A x Line B)</t>
  </si>
  <si>
    <t xml:space="preserve">Total Title I &amp; Other Federal Program Salaries     (Line C + Line E) </t>
  </si>
  <si>
    <t xml:space="preserve">Total Title I &amp; Other Federal Program Salaries
(Line C + Line E) </t>
  </si>
  <si>
    <t>Salaries for the Calendar Year 2017</t>
  </si>
  <si>
    <t>Salaries for Calendar Year 2017</t>
  </si>
  <si>
    <t>&lt;=$127,200</t>
  </si>
  <si>
    <t>&gt;$127,200</t>
  </si>
  <si>
    <t>Salaries for Calendar Year 2018</t>
  </si>
  <si>
    <t>&lt;=$128,700</t>
  </si>
  <si>
    <t>&gt;$128,700</t>
  </si>
  <si>
    <t>Total Contractual Salaries Paid for the Year Ended December 31, 2017</t>
  </si>
  <si>
    <t>Total Contractual Salaries Paid from July 1, 2017 through December 31, 2017</t>
  </si>
  <si>
    <t>Portion of Total Contractual Salaries Paid from July 1, 2017 - December 31, 2017  &lt;= $127,200  (N2)</t>
  </si>
  <si>
    <t>Portion of Total Contractual Salaries Paid from July 1, 2017- December 31, 2017 &gt; $127,200 
(N3)</t>
  </si>
  <si>
    <t>Total Contractual Salaries Paid from January 1, 2018 through June 30, 2018</t>
  </si>
  <si>
    <t>Portion of Total Contractual Salaries Paid from January 1, 2018 through June 30, 2018   &lt;= $128,700  
(N4)</t>
  </si>
  <si>
    <t>Portion of Total Contractual Salaries Paid from January 1, 2018 through June 30, 2018 &gt;$128,700 
(N5)</t>
  </si>
  <si>
    <t>Total Contractual Salaries Paid from July 1, 2017 through June 30, 2018.</t>
  </si>
  <si>
    <t>The amount reported in this column for each employee is the salary paid between July 1, 2017 and December 31, 2017, which when added to the salary paid to that employee during the period of January 1, 2017 through June 30, 2017 will not exceed $127,200.  Any amount resulting in salary in excess of $127,200 should be reported in the next column.</t>
  </si>
  <si>
    <t>Any amounts paid from January 1, 2018 through June 30, 2018 in excess of $128,700 should be reported in this column.</t>
  </si>
  <si>
    <t>The amount reported in this column for each employee is the salary paid between January 1, 2018 and June 30, 2018, which does not exceed $128,700.  Any amount resulting in salary in excess of $128,700 should be reported in the next column.</t>
  </si>
  <si>
    <t>Any amounts paid from July 1, 2017 through December 31, 2017, causing the employee salary for the calendar year 2017 to exceed $127,200 should be reported in this column.</t>
  </si>
  <si>
    <t>Any amounts paid from July 1, 2017 through December 31, 2017, causing the employee salary for the calendar year 2016 to exceed $127,200 should be reported in this column.</t>
  </si>
  <si>
    <t>Portion of Total Contractual Salaries Paid from July 1, 2017 - December 31, 2017  &lt;= $118,500  (N2)</t>
  </si>
  <si>
    <t>Total Contractual Salaries Paid from July 1, 2017 through June 30, 2018</t>
  </si>
  <si>
    <t>Salaries for the Calendar Year 2018</t>
  </si>
  <si>
    <t>The amount reported in this field is to be inserted into Column 6, Row C on the form entiled "REIMBURSEMENT TO STATE OF NEW JERSEY - NJSA 18A:66-90".    ***Note the TPAF rate is the 2017-18  actual rate of 23.85% per the July 26, 2018 letter from the Division of Finance.***</t>
  </si>
  <si>
    <t>***Note the TPAF rate is the 2017-18  actual rate of 23.85% per the July 26, 2018 letter from the Division of Finance.***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</si>
</sst>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7" x14ac:knownFonts="1">
    <font>
      <sz val="10"/>
      <name val="Arial"/>
    </font>
    <font>
      <sz val="10"/>
      <name val="Arial"/>
      <family val="2"/>
    </font>
    <font>
      <b/>
      <sz val="10"/>
      <name val="Arial"/>
      <family val="2"/>
    </font>
    <font>
      <b/>
      <sz val="12"/>
      <name val="Times New Roman"/>
      <family val="1"/>
    </font>
    <font>
      <i/>
      <sz val="10"/>
      <name val="Arial"/>
      <family val="2"/>
    </font>
    <font>
      <sz val="10"/>
      <name val="Arial"/>
      <family val="2"/>
    </font>
    <font>
      <b/>
      <sz val="12"/>
      <name val="Arial"/>
      <family val="2"/>
    </font>
  </fonts>
  <fills count="5">
    <fill>
      <patternFill patternType="none"/>
    </fill>
    <fill>
      <patternFill patternType="gray125"/>
    </fill>
    <fill>
      <patternFill patternType="solid">
        <fgColor indexed="55"/>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6">
    <xf numFmtId="0" fontId="0" fillId="0" borderId="0" xfId="0"/>
    <xf numFmtId="0" fontId="0" fillId="0" borderId="0" xfId="0" applyAlignment="1">
      <alignment wrapText="1"/>
    </xf>
    <xf numFmtId="0" fontId="0" fillId="0" borderId="0" xfId="0" applyAlignment="1">
      <alignment horizontal="center"/>
    </xf>
    <xf numFmtId="0" fontId="0" fillId="0" borderId="1" xfId="0" applyBorder="1" applyAlignment="1">
      <alignment horizontal="center"/>
    </xf>
    <xf numFmtId="0" fontId="3" fillId="0" borderId="0" xfId="0" applyFont="1" applyAlignment="1">
      <alignment horizontal="center"/>
    </xf>
    <xf numFmtId="0" fontId="0" fillId="0" borderId="1" xfId="0" applyBorder="1"/>
    <xf numFmtId="4" fontId="0" fillId="0" borderId="0" xfId="0" applyNumberFormat="1"/>
    <xf numFmtId="3" fontId="0" fillId="0" borderId="0" xfId="0" applyNumberFormat="1"/>
    <xf numFmtId="3" fontId="0" fillId="0" borderId="1" xfId="0" applyNumberFormat="1" applyBorder="1"/>
    <xf numFmtId="10" fontId="0" fillId="0" borderId="0" xfId="0" applyNumberFormat="1"/>
    <xf numFmtId="0" fontId="0" fillId="0" borderId="4" xfId="0" applyBorder="1" applyAlignment="1">
      <alignment horizontal="center" wrapText="1"/>
    </xf>
    <xf numFmtId="0" fontId="0" fillId="0" borderId="4" xfId="0" applyBorder="1" applyAlignment="1">
      <alignment horizontal="center"/>
    </xf>
    <xf numFmtId="3" fontId="0" fillId="0" borderId="5" xfId="0" applyNumberFormat="1" applyBorder="1"/>
    <xf numFmtId="0" fontId="0" fillId="0" borderId="6" xfId="0" applyBorder="1"/>
    <xf numFmtId="0" fontId="0" fillId="0" borderId="7" xfId="0" applyBorder="1"/>
    <xf numFmtId="3" fontId="0" fillId="0" borderId="8" xfId="0" applyNumberFormat="1" applyBorder="1"/>
    <xf numFmtId="3" fontId="0" fillId="0" borderId="9" xfId="0" applyNumberFormat="1" applyBorder="1"/>
    <xf numFmtId="3" fontId="0" fillId="0" borderId="10" xfId="0" applyNumberFormat="1" applyBorder="1"/>
    <xf numFmtId="3" fontId="0" fillId="0" borderId="11" xfId="0" applyNumberFormat="1" applyBorder="1"/>
    <xf numFmtId="0" fontId="0" fillId="0" borderId="12" xfId="0" applyBorder="1"/>
    <xf numFmtId="0" fontId="0" fillId="0" borderId="13" xfId="0" applyBorder="1"/>
    <xf numFmtId="0" fontId="0" fillId="0" borderId="14" xfId="0" applyBorder="1"/>
    <xf numFmtId="3" fontId="0" fillId="0" borderId="13" xfId="0" applyNumberFormat="1" applyBorder="1"/>
    <xf numFmtId="3" fontId="0" fillId="0" borderId="14" xfId="0" applyNumberFormat="1" applyBorder="1"/>
    <xf numFmtId="0" fontId="0" fillId="0" borderId="9" xfId="0" applyBorder="1"/>
    <xf numFmtId="3" fontId="0" fillId="0" borderId="15" xfId="0" applyNumberFormat="1" applyBorder="1"/>
    <xf numFmtId="0" fontId="0" fillId="0" borderId="0" xfId="0" applyBorder="1"/>
    <xf numFmtId="0" fontId="3" fillId="0" borderId="0" xfId="0" applyFont="1" applyBorder="1" applyAlignment="1">
      <alignment horizontal="center"/>
    </xf>
    <xf numFmtId="0" fontId="0" fillId="0" borderId="8" xfId="0" applyBorder="1"/>
    <xf numFmtId="3" fontId="0" fillId="0" borderId="0" xfId="0" applyNumberFormat="1" applyBorder="1"/>
    <xf numFmtId="10" fontId="0" fillId="0" borderId="0" xfId="0" applyNumberFormat="1" applyBorder="1"/>
    <xf numFmtId="0" fontId="2" fillId="0" borderId="0" xfId="0" applyFont="1" applyBorder="1" applyAlignment="1">
      <alignment horizontal="center"/>
    </xf>
    <xf numFmtId="0" fontId="2" fillId="0" borderId="8" xfId="0" applyFont="1" applyBorder="1" applyAlignment="1">
      <alignment horizontal="center" vertical="top"/>
    </xf>
    <xf numFmtId="0" fontId="0" fillId="0" borderId="0" xfId="0" applyBorder="1" applyAlignment="1">
      <alignment horizontal="left" wrapText="1"/>
    </xf>
    <xf numFmtId="0" fontId="0" fillId="0" borderId="10" xfId="0" applyBorder="1"/>
    <xf numFmtId="0" fontId="0" fillId="0" borderId="16" xfId="0" applyBorder="1"/>
    <xf numFmtId="0" fontId="0" fillId="0" borderId="17" xfId="0" applyBorder="1"/>
    <xf numFmtId="3" fontId="0" fillId="0" borderId="17" xfId="0" applyNumberFormat="1" applyBorder="1"/>
    <xf numFmtId="3" fontId="0" fillId="0" borderId="6" xfId="0" applyNumberFormat="1" applyBorder="1"/>
    <xf numFmtId="10" fontId="0" fillId="0" borderId="8" xfId="0" applyNumberFormat="1" applyBorder="1"/>
    <xf numFmtId="3" fontId="0" fillId="0" borderId="18" xfId="0" applyNumberFormat="1" applyBorder="1"/>
    <xf numFmtId="3" fontId="0" fillId="0" borderId="7" xfId="0" applyNumberFormat="1" applyBorder="1"/>
    <xf numFmtId="0" fontId="0" fillId="0" borderId="19" xfId="0" applyBorder="1"/>
    <xf numFmtId="0" fontId="0" fillId="0" borderId="20" xfId="0" applyBorder="1"/>
    <xf numFmtId="0" fontId="0" fillId="0" borderId="11" xfId="0" applyBorder="1"/>
    <xf numFmtId="0" fontId="5" fillId="0" borderId="0" xfId="0" applyFont="1" applyAlignment="1">
      <alignment horizontal="center"/>
    </xf>
    <xf numFmtId="0" fontId="0" fillId="2" borderId="9" xfId="0" applyFill="1" applyBorder="1"/>
    <xf numFmtId="10" fontId="0" fillId="0" borderId="0" xfId="2" applyNumberFormat="1" applyFont="1"/>
    <xf numFmtId="164" fontId="0" fillId="0" borderId="0" xfId="0" applyNumberFormat="1"/>
    <xf numFmtId="164" fontId="0" fillId="0" borderId="0" xfId="0" applyNumberFormat="1" applyBorder="1"/>
    <xf numFmtId="164" fontId="0" fillId="0" borderId="1" xfId="0" applyNumberFormat="1" applyBorder="1"/>
    <xf numFmtId="164" fontId="0" fillId="0" borderId="0" xfId="1" applyNumberFormat="1" applyFont="1" applyBorder="1"/>
    <xf numFmtId="0" fontId="0" fillId="0" borderId="0" xfId="0" applyBorder="1" applyAlignment="1">
      <alignment horizontal="center" wrapText="1"/>
    </xf>
    <xf numFmtId="3" fontId="0" fillId="0" borderId="0" xfId="1" applyNumberFormat="1" applyFont="1"/>
    <xf numFmtId="3" fontId="0" fillId="0" borderId="5" xfId="1" applyNumberFormat="1" applyFont="1" applyBorder="1"/>
    <xf numFmtId="0" fontId="2" fillId="0" borderId="0" xfId="0" applyFont="1"/>
    <xf numFmtId="37" fontId="0" fillId="0" borderId="0" xfId="1" applyNumberFormat="1" applyFont="1"/>
    <xf numFmtId="37" fontId="0" fillId="0" borderId="0" xfId="0" applyNumberFormat="1"/>
    <xf numFmtId="3" fontId="0" fillId="0" borderId="21" xfId="0" applyNumberFormat="1" applyBorder="1"/>
    <xf numFmtId="4" fontId="0" fillId="0" borderId="0" xfId="0" applyNumberFormat="1" applyBorder="1"/>
    <xf numFmtId="0" fontId="5" fillId="0" borderId="0" xfId="0" applyFont="1"/>
    <xf numFmtId="10" fontId="0" fillId="0" borderId="0" xfId="0" applyNumberFormat="1" applyFill="1"/>
    <xf numFmtId="0" fontId="0" fillId="0" borderId="0" xfId="0" applyAlignment="1">
      <alignment textRotation="180"/>
    </xf>
    <xf numFmtId="10" fontId="0" fillId="3" borderId="9" xfId="0" applyNumberFormat="1" applyFill="1" applyBorder="1"/>
    <xf numFmtId="0" fontId="0" fillId="3" borderId="9" xfId="0" applyFill="1" applyBorder="1" applyAlignment="1">
      <alignment horizontal="center"/>
    </xf>
    <xf numFmtId="10" fontId="0" fillId="3" borderId="0" xfId="2" applyNumberFormat="1" applyFont="1" applyFill="1"/>
    <xf numFmtId="0" fontId="0" fillId="4" borderId="0" xfId="0" applyFill="1"/>
    <xf numFmtId="3" fontId="0" fillId="4" borderId="0" xfId="0" applyNumberFormat="1" applyFill="1"/>
    <xf numFmtId="10" fontId="0" fillId="4" borderId="0" xfId="0" applyNumberFormat="1" applyFill="1"/>
    <xf numFmtId="0" fontId="5" fillId="0" borderId="0" xfId="0" applyFont="1" applyAlignment="1"/>
    <xf numFmtId="0" fontId="6" fillId="0" borderId="0" xfId="0" applyFont="1"/>
    <xf numFmtId="0" fontId="0" fillId="3" borderId="0" xfId="0" applyFill="1" applyAlignment="1">
      <alignment horizontal="right"/>
    </xf>
    <xf numFmtId="0" fontId="1" fillId="0" borderId="2" xfId="0" applyFont="1" applyBorder="1" applyAlignment="1">
      <alignment horizontal="center"/>
    </xf>
    <xf numFmtId="0" fontId="1" fillId="0" borderId="3" xfId="0" applyFont="1" applyBorder="1" applyAlignment="1">
      <alignment horizontal="center"/>
    </xf>
    <xf numFmtId="0" fontId="1" fillId="0" borderId="1" xfId="0" applyFont="1" applyBorder="1" applyAlignment="1">
      <alignment horizontal="center" wrapText="1"/>
    </xf>
    <xf numFmtId="0" fontId="1" fillId="4" borderId="0" xfId="0" applyFont="1" applyFill="1"/>
    <xf numFmtId="0" fontId="1" fillId="0" borderId="0" xfId="0" applyFont="1"/>
    <xf numFmtId="0" fontId="1" fillId="0" borderId="0" xfId="0" applyFont="1" applyFill="1"/>
    <xf numFmtId="0" fontId="0" fillId="0" borderId="0" xfId="0" applyFill="1"/>
    <xf numFmtId="0" fontId="0" fillId="0" borderId="1" xfId="0" applyFill="1" applyBorder="1"/>
    <xf numFmtId="0" fontId="0" fillId="0" borderId="0" xfId="0" applyFill="1" applyBorder="1"/>
    <xf numFmtId="0" fontId="0" fillId="0" borderId="0" xfId="0" applyAlignment="1">
      <alignment horizontal="center"/>
    </xf>
    <xf numFmtId="0" fontId="1" fillId="0" borderId="2" xfId="0" applyFont="1" applyBorder="1" applyAlignment="1">
      <alignment horizontal="center"/>
    </xf>
    <xf numFmtId="0" fontId="1" fillId="0" borderId="2" xfId="0" applyFont="1" applyBorder="1" applyAlignment="1">
      <alignment horizontal="center"/>
    </xf>
    <xf numFmtId="0" fontId="0" fillId="0" borderId="0" xfId="0" applyAlignment="1">
      <alignment horizontal="center" textRotation="180"/>
    </xf>
    <xf numFmtId="0" fontId="0" fillId="0" borderId="2" xfId="0" applyBorder="1" applyAlignment="1">
      <alignment horizontal="center" wrapText="1"/>
    </xf>
    <xf numFmtId="0" fontId="0" fillId="0" borderId="3" xfId="0" applyBorder="1" applyAlignment="1">
      <alignment horizontal="center" wrapText="1"/>
    </xf>
    <xf numFmtId="0" fontId="3" fillId="0" borderId="0" xfId="0" applyFont="1" applyBorder="1" applyAlignment="1">
      <alignment horizontal="center"/>
    </xf>
    <xf numFmtId="0" fontId="3" fillId="0" borderId="9" xfId="0" applyFont="1" applyBorder="1" applyAlignment="1">
      <alignment horizontal="center"/>
    </xf>
    <xf numFmtId="0" fontId="1" fillId="3" borderId="0" xfId="0" applyFont="1" applyFill="1" applyBorder="1" applyAlignment="1">
      <alignment horizontal="center" vertical="top" wrapText="1"/>
    </xf>
    <xf numFmtId="0" fontId="0" fillId="3" borderId="0" xfId="0" applyFill="1" applyBorder="1" applyAlignment="1">
      <alignment horizontal="center" vertical="top" wrapText="1"/>
    </xf>
    <xf numFmtId="0" fontId="0" fillId="3" borderId="9" xfId="0" applyFill="1" applyBorder="1" applyAlignment="1">
      <alignment horizontal="center" vertical="top" wrapText="1"/>
    </xf>
    <xf numFmtId="0" fontId="1" fillId="0" borderId="2" xfId="0" applyFont="1" applyBorder="1" applyAlignment="1">
      <alignment horizontal="center"/>
    </xf>
    <xf numFmtId="0" fontId="0" fillId="0" borderId="3" xfId="0" applyBorder="1" applyAlignment="1">
      <alignment horizontal="center"/>
    </xf>
    <xf numFmtId="0" fontId="1" fillId="0" borderId="0" xfId="0" applyFont="1" applyBorder="1" applyAlignment="1">
      <alignment horizontal="center"/>
    </xf>
    <xf numFmtId="0" fontId="0" fillId="0" borderId="0" xfId="0" applyBorder="1" applyAlignment="1">
      <alignment horizontal="center"/>
    </xf>
    <xf numFmtId="0" fontId="3" fillId="0" borderId="0" xfId="0" applyFont="1" applyAlignment="1">
      <alignment horizontal="center"/>
    </xf>
    <xf numFmtId="0" fontId="0" fillId="0" borderId="0" xfId="0" applyFill="1" applyAlignment="1">
      <alignment horizontal="left" wrapText="1"/>
    </xf>
    <xf numFmtId="0" fontId="5" fillId="0" borderId="0" xfId="0" applyFont="1" applyAlignment="1">
      <alignment horizontal="left" wrapText="1"/>
    </xf>
    <xf numFmtId="0" fontId="0" fillId="0" borderId="0" xfId="0" applyAlignment="1">
      <alignment horizontal="left" wrapText="1"/>
    </xf>
    <xf numFmtId="0" fontId="1" fillId="0" borderId="0" xfId="0" applyFont="1" applyAlignment="1">
      <alignment horizontal="left" wrapText="1"/>
    </xf>
    <xf numFmtId="0" fontId="1" fillId="0" borderId="0" xfId="0" applyFont="1" applyAlignment="1">
      <alignment horizontal="center"/>
    </xf>
    <xf numFmtId="0" fontId="0" fillId="0" borderId="0" xfId="0" applyAlignment="1">
      <alignment horizontal="center"/>
    </xf>
    <xf numFmtId="0" fontId="1" fillId="3" borderId="0" xfId="0" applyFont="1" applyFill="1" applyAlignment="1">
      <alignment horizontal="left"/>
    </xf>
    <xf numFmtId="0" fontId="0" fillId="3" borderId="0" xfId="0" applyFill="1" applyAlignment="1">
      <alignment horizontal="left"/>
    </xf>
    <xf numFmtId="0" fontId="0" fillId="0" borderId="0" xfId="0" applyAlignment="1">
      <alignment horizontal="center" textRotation="180"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udit%20Program%202009-10\d-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und 15 - Res. Sum "/>
      <sheetName val="Lincoln Res Sum "/>
      <sheetName val="Washington Res Sum "/>
    </sheetNames>
    <sheetDataSet>
      <sheetData sheetId="0"/>
      <sheetData sheetId="1">
        <row r="26">
          <cell r="E26">
            <v>9.1800000000000007E-2</v>
          </cell>
        </row>
        <row r="30">
          <cell r="E30">
            <v>0.113</v>
          </cell>
        </row>
        <row r="34">
          <cell r="E34">
            <v>2.8799999999999999E-2</v>
          </cell>
        </row>
        <row r="38">
          <cell r="E38">
            <v>1.83E-2</v>
          </cell>
        </row>
        <row r="42">
          <cell r="E42">
            <v>3.3700000000000001E-2</v>
          </cell>
        </row>
      </sheetData>
      <sheetData sheetId="2">
        <row r="26">
          <cell r="E26">
            <v>0.13120000000000001</v>
          </cell>
        </row>
        <row r="30">
          <cell r="E30">
            <v>6.7599999999999993E-2</v>
          </cell>
        </row>
        <row r="34">
          <cell r="E34">
            <v>1.1900000000000001E-2</v>
          </cell>
        </row>
        <row r="38">
          <cell r="E38">
            <v>3.61E-2</v>
          </cell>
        </row>
        <row r="42">
          <cell r="E42">
            <v>2.8299999999999999E-2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27"/>
  <sheetViews>
    <sheetView tabSelected="1" zoomScaleNormal="100" workbookViewId="0">
      <selection activeCell="D24" sqref="D24:S24"/>
    </sheetView>
  </sheetViews>
  <sheetFormatPr defaultRowHeight="13.2" x14ac:dyDescent="0.25"/>
  <cols>
    <col min="2" max="2" width="1.6640625" customWidth="1"/>
    <col min="3" max="3" width="2.44140625" customWidth="1"/>
    <col min="4" max="4" width="15" customWidth="1"/>
    <col min="5" max="5" width="2.5546875" customWidth="1"/>
    <col min="6" max="7" width="10.44140625" customWidth="1"/>
    <col min="8" max="8" width="1.6640625" customWidth="1"/>
    <col min="9" max="9" width="10.6640625" customWidth="1"/>
    <col min="10" max="10" width="9.33203125" customWidth="1"/>
    <col min="11" max="11" width="1.6640625" customWidth="1"/>
    <col min="12" max="12" width="10.33203125" customWidth="1"/>
    <col min="13" max="13" width="9.33203125" customWidth="1"/>
    <col min="14" max="14" width="1.6640625" customWidth="1"/>
    <col min="15" max="15" width="10.44140625" customWidth="1"/>
    <col min="16" max="16" width="9.33203125" customWidth="1"/>
    <col min="17" max="17" width="1.6640625" customWidth="1"/>
    <col min="18" max="18" width="15.5546875" customWidth="1"/>
    <col min="19" max="19" width="16.6640625" customWidth="1"/>
    <col min="20" max="20" width="2.33203125" customWidth="1"/>
  </cols>
  <sheetData>
    <row r="1" spans="1:21" s="78" customFormat="1" ht="24.75" customHeight="1" x14ac:dyDescent="0.25">
      <c r="A1" s="77"/>
      <c r="C1" s="79"/>
      <c r="D1" s="79"/>
      <c r="E1" s="79"/>
      <c r="F1" s="79"/>
      <c r="G1" s="79"/>
      <c r="H1" s="79"/>
      <c r="I1" s="79"/>
      <c r="J1" s="79"/>
      <c r="K1" s="79"/>
      <c r="L1" s="79"/>
      <c r="M1" s="79"/>
      <c r="N1" s="79"/>
      <c r="O1" s="79"/>
      <c r="P1" s="79"/>
      <c r="Q1" s="79"/>
      <c r="R1" s="79"/>
      <c r="S1" s="79"/>
      <c r="T1" s="80"/>
    </row>
    <row r="2" spans="1:21" ht="15.6" x14ac:dyDescent="0.3">
      <c r="B2" s="87" t="s">
        <v>52</v>
      </c>
      <c r="C2" s="87"/>
      <c r="D2" s="87"/>
      <c r="E2" s="87"/>
      <c r="F2" s="87"/>
      <c r="G2" s="87"/>
      <c r="H2" s="87"/>
      <c r="I2" s="87"/>
      <c r="J2" s="87"/>
      <c r="K2" s="87"/>
      <c r="L2" s="87"/>
      <c r="M2" s="87"/>
      <c r="N2" s="87"/>
      <c r="O2" s="87"/>
      <c r="P2" s="87"/>
      <c r="Q2" s="87"/>
      <c r="R2" s="87"/>
      <c r="S2" s="88"/>
      <c r="T2" s="27"/>
      <c r="U2" s="4"/>
    </row>
    <row r="3" spans="1:21" x14ac:dyDescent="0.25">
      <c r="C3" s="28"/>
      <c r="D3" s="26"/>
      <c r="E3" s="26"/>
      <c r="F3" s="26"/>
      <c r="G3" s="26"/>
      <c r="H3" s="26"/>
      <c r="I3" s="26"/>
      <c r="J3" s="26"/>
      <c r="K3" s="26"/>
      <c r="L3" s="26"/>
      <c r="M3" s="26"/>
      <c r="N3" s="26"/>
      <c r="O3" s="26"/>
      <c r="P3" s="26"/>
      <c r="Q3" s="26"/>
      <c r="R3" s="26"/>
      <c r="S3" s="24"/>
      <c r="T3" s="26"/>
    </row>
    <row r="4" spans="1:21" x14ac:dyDescent="0.25">
      <c r="C4" s="28"/>
      <c r="D4" s="26"/>
      <c r="E4" s="26"/>
      <c r="F4" s="26"/>
      <c r="G4" s="26"/>
      <c r="H4" s="26"/>
      <c r="I4" s="26"/>
      <c r="J4" s="26"/>
      <c r="K4" s="26"/>
      <c r="L4" s="26"/>
      <c r="M4" s="26"/>
      <c r="N4" s="26"/>
      <c r="O4" s="26"/>
      <c r="P4" s="26"/>
      <c r="Q4" s="26"/>
      <c r="R4" s="26"/>
      <c r="S4" s="24"/>
      <c r="T4" s="26"/>
    </row>
    <row r="5" spans="1:21" x14ac:dyDescent="0.25">
      <c r="C5" s="28"/>
      <c r="D5" s="26"/>
      <c r="E5" s="26"/>
      <c r="F5" s="94" t="s">
        <v>64</v>
      </c>
      <c r="G5" s="95"/>
      <c r="H5" s="95"/>
      <c r="I5" s="95"/>
      <c r="J5" s="95"/>
      <c r="K5" s="26"/>
      <c r="L5" s="94" t="s">
        <v>67</v>
      </c>
      <c r="M5" s="95"/>
      <c r="N5" s="95"/>
      <c r="O5" s="95"/>
      <c r="P5" s="95"/>
      <c r="Q5" s="26"/>
      <c r="R5" s="26"/>
      <c r="S5" s="24"/>
      <c r="T5" s="26"/>
    </row>
    <row r="6" spans="1:21" ht="24.75" customHeight="1" x14ac:dyDescent="0.25">
      <c r="C6" s="28"/>
      <c r="D6" s="26"/>
      <c r="E6" s="26"/>
      <c r="F6" s="92" t="s">
        <v>58</v>
      </c>
      <c r="G6" s="93"/>
      <c r="H6" s="26"/>
      <c r="I6" s="85" t="s">
        <v>15</v>
      </c>
      <c r="J6" s="86"/>
      <c r="K6" s="26"/>
      <c r="L6" s="92" t="s">
        <v>58</v>
      </c>
      <c r="M6" s="93"/>
      <c r="N6" s="26"/>
      <c r="O6" s="85" t="s">
        <v>15</v>
      </c>
      <c r="P6" s="86"/>
      <c r="Q6" s="26"/>
      <c r="R6" s="26"/>
      <c r="S6" s="24"/>
      <c r="T6" s="26"/>
    </row>
    <row r="7" spans="1:21" ht="52.5" customHeight="1" x14ac:dyDescent="0.25">
      <c r="C7" s="28"/>
      <c r="D7" s="11" t="s">
        <v>14</v>
      </c>
      <c r="E7" s="26"/>
      <c r="F7" s="83" t="s">
        <v>65</v>
      </c>
      <c r="G7" s="73" t="s">
        <v>66</v>
      </c>
      <c r="H7" s="26"/>
      <c r="I7" s="83" t="s">
        <v>65</v>
      </c>
      <c r="J7" s="73" t="s">
        <v>66</v>
      </c>
      <c r="K7" s="26"/>
      <c r="L7" s="72" t="s">
        <v>68</v>
      </c>
      <c r="M7" s="73" t="s">
        <v>69</v>
      </c>
      <c r="N7" s="26"/>
      <c r="O7" s="82" t="s">
        <v>68</v>
      </c>
      <c r="P7" s="73" t="s">
        <v>69</v>
      </c>
      <c r="Q7" s="26"/>
      <c r="R7" s="10" t="s">
        <v>16</v>
      </c>
      <c r="S7" s="10" t="s">
        <v>22</v>
      </c>
      <c r="T7" s="26"/>
    </row>
    <row r="8" spans="1:21" x14ac:dyDescent="0.25">
      <c r="C8" s="28"/>
      <c r="D8" s="19"/>
      <c r="E8" s="26"/>
      <c r="F8" s="13"/>
      <c r="G8" s="14"/>
      <c r="H8" s="26"/>
      <c r="I8" s="13"/>
      <c r="J8" s="14"/>
      <c r="K8" s="26"/>
      <c r="L8" s="13"/>
      <c r="M8" s="14"/>
      <c r="N8" s="26"/>
      <c r="O8" s="13"/>
      <c r="P8" s="14"/>
      <c r="Q8" s="26"/>
      <c r="R8" s="19"/>
      <c r="S8" s="14"/>
      <c r="T8" s="26"/>
    </row>
    <row r="9" spans="1:21" x14ac:dyDescent="0.25">
      <c r="C9" s="28"/>
      <c r="D9" s="20" t="s">
        <v>17</v>
      </c>
      <c r="E9" s="26"/>
      <c r="F9" s="15">
        <f>ROUND(+Lincoln!F23,0)</f>
        <v>24397</v>
      </c>
      <c r="G9" s="16">
        <f>ROUND(+Lincoln!G23,0)</f>
        <v>689</v>
      </c>
      <c r="H9" s="29"/>
      <c r="I9" s="15">
        <f>ROUND(+Lincoln!F28,0)</f>
        <v>51504</v>
      </c>
      <c r="J9" s="16">
        <f>ROUND(+Lincoln!G28,0)</f>
        <v>1454</v>
      </c>
      <c r="K9" s="29"/>
      <c r="L9" s="15">
        <f>ROUND(+Lincoln!J23,0)</f>
        <v>25587</v>
      </c>
      <c r="M9" s="16">
        <f>ROUND(+Lincoln!K23,0)</f>
        <v>0</v>
      </c>
      <c r="N9" s="29"/>
      <c r="O9" s="15">
        <f>ROUND(+Lincoln!J28,0)</f>
        <v>54017</v>
      </c>
      <c r="P9" s="16">
        <f>ROUND(+Lincoln!K28,0)</f>
        <v>0</v>
      </c>
      <c r="Q9" s="29"/>
      <c r="R9" s="22">
        <f>SUM(F9:P9)</f>
        <v>157648</v>
      </c>
      <c r="S9" s="16">
        <f>ROUND(+Lincoln!M34,0)</f>
        <v>49527</v>
      </c>
      <c r="T9" s="26"/>
    </row>
    <row r="10" spans="1:21" x14ac:dyDescent="0.25">
      <c r="C10" s="28"/>
      <c r="D10" s="20"/>
      <c r="E10" s="26"/>
      <c r="F10" s="15"/>
      <c r="G10" s="16"/>
      <c r="H10" s="29"/>
      <c r="I10" s="15"/>
      <c r="J10" s="16"/>
      <c r="K10" s="29"/>
      <c r="L10" s="15"/>
      <c r="M10" s="16"/>
      <c r="N10" s="29"/>
      <c r="O10" s="15"/>
      <c r="P10" s="16"/>
      <c r="Q10" s="29"/>
      <c r="R10" s="22"/>
      <c r="S10" s="16"/>
      <c r="T10" s="26"/>
    </row>
    <row r="11" spans="1:21" x14ac:dyDescent="0.25">
      <c r="A11" s="84" t="s">
        <v>53</v>
      </c>
      <c r="C11" s="28"/>
      <c r="D11" s="20"/>
      <c r="E11" s="26"/>
      <c r="F11" s="15"/>
      <c r="G11" s="16"/>
      <c r="H11" s="29"/>
      <c r="I11" s="15"/>
      <c r="J11" s="16"/>
      <c r="K11" s="29"/>
      <c r="L11" s="15"/>
      <c r="M11" s="16"/>
      <c r="N11" s="29"/>
      <c r="O11" s="15"/>
      <c r="P11" s="16"/>
      <c r="Q11" s="29"/>
      <c r="R11" s="22"/>
      <c r="S11" s="16"/>
      <c r="T11" s="26"/>
    </row>
    <row r="12" spans="1:21" x14ac:dyDescent="0.25">
      <c r="A12" s="84"/>
      <c r="C12" s="28"/>
      <c r="D12" s="20" t="s">
        <v>18</v>
      </c>
      <c r="E12" s="26"/>
      <c r="F12" s="15">
        <f>ROUND(+Washington!F25,0)</f>
        <v>67445</v>
      </c>
      <c r="G12" s="16">
        <f>ROUND(+Washington!G25,0)</f>
        <v>5701</v>
      </c>
      <c r="H12" s="29"/>
      <c r="I12" s="15">
        <f>ROUND(+Washington!F30,0)</f>
        <v>64061</v>
      </c>
      <c r="J12" s="16">
        <f>ROUND(+Washington!G30,0)</f>
        <v>5415</v>
      </c>
      <c r="K12" s="29"/>
      <c r="L12" s="15">
        <f>ROUND(+Washington!J25,0)</f>
        <v>74609</v>
      </c>
      <c r="M12" s="16">
        <f>ROUND(+Washington!K25,0)</f>
        <v>0</v>
      </c>
      <c r="N12" s="29"/>
      <c r="O12" s="15">
        <f>ROUND(+Washington!J30,0)</f>
        <v>70866</v>
      </c>
      <c r="P12" s="16">
        <f>ROUND(+Washington!K30,0)</f>
        <v>0</v>
      </c>
      <c r="Q12" s="29"/>
      <c r="R12" s="22">
        <f>SUM(F12:P12)</f>
        <v>288097</v>
      </c>
      <c r="S12" s="16">
        <f>ROUND(+Washington!M36,0)</f>
        <v>90061</v>
      </c>
      <c r="T12" s="26"/>
    </row>
    <row r="13" spans="1:21" x14ac:dyDescent="0.25">
      <c r="A13" s="84"/>
      <c r="C13" s="28"/>
      <c r="D13" s="20"/>
      <c r="E13" s="26"/>
      <c r="F13" s="15"/>
      <c r="G13" s="16"/>
      <c r="H13" s="29"/>
      <c r="I13" s="15"/>
      <c r="J13" s="16"/>
      <c r="K13" s="29"/>
      <c r="L13" s="15"/>
      <c r="M13" s="16"/>
      <c r="N13" s="29"/>
      <c r="O13" s="15"/>
      <c r="P13" s="16"/>
      <c r="Q13" s="29"/>
      <c r="R13" s="22"/>
      <c r="S13" s="16"/>
      <c r="T13" s="26"/>
    </row>
    <row r="14" spans="1:21" x14ac:dyDescent="0.25">
      <c r="A14" s="84"/>
      <c r="C14" s="28"/>
      <c r="D14" s="20"/>
      <c r="E14" s="26"/>
      <c r="F14" s="15"/>
      <c r="G14" s="16"/>
      <c r="H14" s="29"/>
      <c r="I14" s="15"/>
      <c r="J14" s="16"/>
      <c r="K14" s="29"/>
      <c r="L14" s="15"/>
      <c r="M14" s="16"/>
      <c r="N14" s="29"/>
      <c r="O14" s="15"/>
      <c r="P14" s="16"/>
      <c r="Q14" s="29"/>
      <c r="R14" s="22"/>
      <c r="S14" s="16"/>
      <c r="T14" s="26"/>
    </row>
    <row r="15" spans="1:21" x14ac:dyDescent="0.25">
      <c r="A15" s="84"/>
      <c r="C15" s="28"/>
      <c r="D15" s="20"/>
      <c r="E15" s="26"/>
      <c r="F15" s="15"/>
      <c r="G15" s="16"/>
      <c r="H15" s="29"/>
      <c r="I15" s="15"/>
      <c r="J15" s="16"/>
      <c r="K15" s="29"/>
      <c r="L15" s="15"/>
      <c r="M15" s="16"/>
      <c r="N15" s="29"/>
      <c r="O15" s="15"/>
      <c r="P15" s="16"/>
      <c r="Q15" s="29"/>
      <c r="R15" s="22"/>
      <c r="S15" s="16"/>
      <c r="T15" s="26"/>
    </row>
    <row r="16" spans="1:21" x14ac:dyDescent="0.25">
      <c r="A16" s="84"/>
      <c r="C16" s="28"/>
      <c r="D16" s="20"/>
      <c r="E16" s="26"/>
      <c r="F16" s="15"/>
      <c r="G16" s="16"/>
      <c r="H16" s="29"/>
      <c r="I16" s="15"/>
      <c r="J16" s="16"/>
      <c r="K16" s="29"/>
      <c r="L16" s="15"/>
      <c r="M16" s="16"/>
      <c r="N16" s="29"/>
      <c r="O16" s="15"/>
      <c r="P16" s="16"/>
      <c r="Q16" s="29"/>
      <c r="R16" s="22"/>
      <c r="S16" s="16"/>
      <c r="T16" s="26"/>
    </row>
    <row r="17" spans="1:20" x14ac:dyDescent="0.25">
      <c r="A17" s="84"/>
      <c r="C17" s="28"/>
      <c r="D17" s="21"/>
      <c r="E17" s="26"/>
      <c r="F17" s="17"/>
      <c r="G17" s="18"/>
      <c r="H17" s="29"/>
      <c r="I17" s="17"/>
      <c r="J17" s="18"/>
      <c r="K17" s="29"/>
      <c r="L17" s="17"/>
      <c r="M17" s="18"/>
      <c r="N17" s="29"/>
      <c r="O17" s="17"/>
      <c r="P17" s="18"/>
      <c r="Q17" s="29"/>
      <c r="R17" s="23"/>
      <c r="S17" s="23"/>
      <c r="T17" s="26"/>
    </row>
    <row r="18" spans="1:20" x14ac:dyDescent="0.25">
      <c r="C18" s="28"/>
      <c r="D18" s="13" t="s">
        <v>19</v>
      </c>
      <c r="E18" s="26"/>
      <c r="F18" s="38">
        <f>SUM(F9:F17)</f>
        <v>91842</v>
      </c>
      <c r="G18" s="29">
        <f>SUM(G9:G17)</f>
        <v>6390</v>
      </c>
      <c r="H18" s="29"/>
      <c r="I18" s="29">
        <f>SUM(I9:I17)</f>
        <v>115565</v>
      </c>
      <c r="J18" s="29">
        <f>SUM(J9:J17)</f>
        <v>6869</v>
      </c>
      <c r="K18" s="29"/>
      <c r="L18" s="29">
        <f>SUM(L9:L17)</f>
        <v>100196</v>
      </c>
      <c r="M18" s="29">
        <f>SUM(M9:M17)</f>
        <v>0</v>
      </c>
      <c r="N18" s="29"/>
      <c r="O18" s="29">
        <f>SUM(O9:O17)</f>
        <v>124883</v>
      </c>
      <c r="P18" s="29">
        <f>SUM(P9:P17)</f>
        <v>0</v>
      </c>
      <c r="Q18" s="29"/>
      <c r="R18" s="41">
        <f>SUM(R9:R17)</f>
        <v>445745</v>
      </c>
      <c r="S18" s="16">
        <f>SUM(S9:S17)</f>
        <v>139588</v>
      </c>
      <c r="T18" s="26"/>
    </row>
    <row r="19" spans="1:20" x14ac:dyDescent="0.25">
      <c r="C19" s="28"/>
      <c r="D19" s="28"/>
      <c r="E19" s="26"/>
      <c r="F19" s="28"/>
      <c r="G19" s="26"/>
      <c r="H19" s="26"/>
      <c r="I19" s="26"/>
      <c r="J19" s="26"/>
      <c r="K19" s="26"/>
      <c r="L19" s="26"/>
      <c r="M19" s="26"/>
      <c r="N19" s="26"/>
      <c r="O19" s="26"/>
      <c r="P19" s="26"/>
      <c r="Q19" s="26"/>
      <c r="R19" s="24"/>
      <c r="S19" s="24"/>
      <c r="T19" s="26"/>
    </row>
    <row r="20" spans="1:20" x14ac:dyDescent="0.25">
      <c r="C20" s="28"/>
      <c r="D20" s="28" t="s">
        <v>20</v>
      </c>
      <c r="E20" s="26"/>
      <c r="F20" s="39">
        <v>7.6499999999999999E-2</v>
      </c>
      <c r="G20" s="30">
        <v>1.4500000000000001E-2</v>
      </c>
      <c r="H20" s="30"/>
      <c r="I20" s="30">
        <v>7.6499999999999999E-2</v>
      </c>
      <c r="J20" s="30">
        <v>1.4500000000000001E-2</v>
      </c>
      <c r="K20" s="30"/>
      <c r="L20" s="30">
        <v>7.6499999999999999E-2</v>
      </c>
      <c r="M20" s="30">
        <v>1.4500000000000001E-2</v>
      </c>
      <c r="N20" s="30"/>
      <c r="O20" s="30">
        <v>7.6499999999999999E-2</v>
      </c>
      <c r="P20" s="30">
        <v>1.4500000000000001E-2</v>
      </c>
      <c r="Q20" s="30"/>
      <c r="R20" s="63">
        <v>0.23849999999999999</v>
      </c>
      <c r="S20" s="46"/>
      <c r="T20" s="26"/>
    </row>
    <row r="21" spans="1:20" x14ac:dyDescent="0.25">
      <c r="C21" s="28"/>
      <c r="D21" s="28"/>
      <c r="E21" s="26"/>
      <c r="F21" s="28"/>
      <c r="G21" s="26"/>
      <c r="H21" s="26"/>
      <c r="I21" s="26"/>
      <c r="J21" s="26"/>
      <c r="K21" s="26"/>
      <c r="L21" s="26"/>
      <c r="M21" s="26"/>
      <c r="N21" s="26"/>
      <c r="O21" s="26"/>
      <c r="P21" s="26"/>
      <c r="Q21" s="26"/>
      <c r="R21" s="64" t="s">
        <v>56</v>
      </c>
      <c r="S21" s="24"/>
      <c r="T21" s="26"/>
    </row>
    <row r="22" spans="1:20" ht="13.8" thickBot="1" x14ac:dyDescent="0.3">
      <c r="C22" s="28"/>
      <c r="D22" s="35" t="s">
        <v>21</v>
      </c>
      <c r="E22" s="36"/>
      <c r="F22" s="40">
        <f>ROUND(+F18*F20,0)</f>
        <v>7026</v>
      </c>
      <c r="G22" s="12">
        <f>ROUND(+G18*G20,0)</f>
        <v>93</v>
      </c>
      <c r="H22" s="37"/>
      <c r="I22" s="12">
        <f>ROUND(+I18*I20,0)</f>
        <v>8841</v>
      </c>
      <c r="J22" s="12">
        <f>ROUND(+J18*J20,0)</f>
        <v>100</v>
      </c>
      <c r="K22" s="37"/>
      <c r="L22" s="12">
        <f>ROUND(+L18*L20,0)</f>
        <v>7665</v>
      </c>
      <c r="M22" s="12">
        <f>ROUND(+M18*M20,0)</f>
        <v>0</v>
      </c>
      <c r="N22" s="37"/>
      <c r="O22" s="12">
        <f>ROUND(+O18*O20,0)</f>
        <v>9554</v>
      </c>
      <c r="P22" s="12">
        <f>ROUND(+P18*P20,0)</f>
        <v>0</v>
      </c>
      <c r="Q22" s="37"/>
      <c r="R22" s="25">
        <f>ROUND(+R18*R20,0)-1</f>
        <v>106309</v>
      </c>
      <c r="S22" s="25">
        <f>ROUND(SUM(F22:R22),0)</f>
        <v>139588</v>
      </c>
      <c r="T22" s="31" t="s">
        <v>36</v>
      </c>
    </row>
    <row r="23" spans="1:20" ht="13.8" thickTop="1" x14ac:dyDescent="0.25">
      <c r="C23" s="28"/>
      <c r="D23" s="42"/>
      <c r="E23" s="42"/>
      <c r="F23" s="42"/>
      <c r="G23" s="42"/>
      <c r="H23" s="42"/>
      <c r="I23" s="42"/>
      <c r="J23" s="42"/>
      <c r="K23" s="42"/>
      <c r="L23" s="42"/>
      <c r="M23" s="42"/>
      <c r="N23" s="42"/>
      <c r="O23" s="42"/>
      <c r="P23" s="42"/>
      <c r="Q23" s="42"/>
      <c r="R23" s="42"/>
      <c r="S23" s="43"/>
      <c r="T23" s="26"/>
    </row>
    <row r="24" spans="1:20" ht="30.6" customHeight="1" x14ac:dyDescent="0.25">
      <c r="B24" s="26"/>
      <c r="C24" s="32" t="s">
        <v>36</v>
      </c>
      <c r="D24" s="89" t="s">
        <v>86</v>
      </c>
      <c r="E24" s="90"/>
      <c r="F24" s="90"/>
      <c r="G24" s="90"/>
      <c r="H24" s="90"/>
      <c r="I24" s="90"/>
      <c r="J24" s="90"/>
      <c r="K24" s="90"/>
      <c r="L24" s="90"/>
      <c r="M24" s="90"/>
      <c r="N24" s="90"/>
      <c r="O24" s="90"/>
      <c r="P24" s="90"/>
      <c r="Q24" s="90"/>
      <c r="R24" s="90"/>
      <c r="S24" s="91"/>
      <c r="T24" s="33"/>
    </row>
    <row r="25" spans="1:20" x14ac:dyDescent="0.25">
      <c r="B25" s="26"/>
      <c r="C25" s="34"/>
      <c r="D25" s="5"/>
      <c r="E25" s="5"/>
      <c r="F25" s="5"/>
      <c r="G25" s="5"/>
      <c r="H25" s="5"/>
      <c r="I25" s="5"/>
      <c r="J25" s="5"/>
      <c r="K25" s="5"/>
      <c r="L25" s="5"/>
      <c r="M25" s="5"/>
      <c r="N25" s="5"/>
      <c r="O25" s="5"/>
      <c r="P25" s="5"/>
      <c r="Q25" s="5"/>
      <c r="R25" s="5"/>
      <c r="S25" s="44"/>
    </row>
    <row r="26" spans="1:20" x14ac:dyDescent="0.25">
      <c r="B26" s="26"/>
    </row>
    <row r="27" spans="1:20" x14ac:dyDescent="0.25">
      <c r="D27" s="45"/>
      <c r="E27" s="45"/>
      <c r="F27" s="45"/>
      <c r="G27" s="45"/>
      <c r="H27" s="45"/>
      <c r="I27" s="45"/>
      <c r="J27" s="45"/>
      <c r="K27" s="45"/>
      <c r="L27" s="45"/>
      <c r="M27" s="45"/>
      <c r="N27" s="45"/>
      <c r="O27" s="45"/>
      <c r="P27" s="45"/>
      <c r="Q27" s="45"/>
      <c r="R27" s="45"/>
      <c r="S27" s="45"/>
    </row>
  </sheetData>
  <mergeCells count="9">
    <mergeCell ref="A11:A17"/>
    <mergeCell ref="O6:P6"/>
    <mergeCell ref="B2:S2"/>
    <mergeCell ref="D24:S24"/>
    <mergeCell ref="I6:J6"/>
    <mergeCell ref="F6:G6"/>
    <mergeCell ref="L6:M6"/>
    <mergeCell ref="F5:J5"/>
    <mergeCell ref="L5:P5"/>
  </mergeCells>
  <phoneticPr fontId="0" type="noConversion"/>
  <printOptions horizontalCentered="1" verticalCentered="1" gridLines="1"/>
  <pageMargins left="0.5" right="0.5" top="1" bottom="1" header="0.5" footer="0.5"/>
  <pageSetup scale="8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48"/>
  <sheetViews>
    <sheetView topLeftCell="A19" zoomScale="80" zoomScaleNormal="80" workbookViewId="0">
      <selection activeCell="C49" sqref="C49"/>
    </sheetView>
  </sheetViews>
  <sheetFormatPr defaultRowHeight="13.2" x14ac:dyDescent="0.25"/>
  <cols>
    <col min="2" max="2" width="4.44140625" customWidth="1"/>
    <col min="3" max="3" width="25.88671875" customWidth="1"/>
    <col min="4" max="4" width="16.5546875" customWidth="1"/>
    <col min="5" max="5" width="16.6640625" customWidth="1"/>
    <col min="6" max="6" width="18.6640625" customWidth="1"/>
    <col min="7" max="7" width="18.5546875" customWidth="1"/>
    <col min="8" max="8" width="2.88671875" customWidth="1"/>
    <col min="9" max="9" width="18.6640625" customWidth="1"/>
    <col min="10" max="11" width="20.6640625" customWidth="1"/>
    <col min="12" max="12" width="2.88671875" customWidth="1"/>
    <col min="13" max="13" width="16.6640625" customWidth="1"/>
  </cols>
  <sheetData>
    <row r="1" spans="3:13" ht="15.6" x14ac:dyDescent="0.3">
      <c r="C1" s="96" t="s">
        <v>1</v>
      </c>
      <c r="D1" s="96"/>
      <c r="E1" s="96"/>
      <c r="F1" s="96"/>
      <c r="G1" s="96"/>
      <c r="H1" s="96"/>
      <c r="I1" s="96"/>
      <c r="J1" s="96"/>
      <c r="K1" s="96"/>
      <c r="L1" s="96"/>
      <c r="M1" s="96"/>
    </row>
    <row r="2" spans="3:13" ht="15.6" x14ac:dyDescent="0.3">
      <c r="C2" s="96" t="s">
        <v>51</v>
      </c>
      <c r="D2" s="96"/>
      <c r="E2" s="96"/>
      <c r="F2" s="96"/>
      <c r="G2" s="96"/>
      <c r="H2" s="96"/>
      <c r="I2" s="96"/>
      <c r="J2" s="96"/>
      <c r="K2" s="96"/>
      <c r="L2" s="96"/>
      <c r="M2" s="96"/>
    </row>
    <row r="4" spans="3:13" x14ac:dyDescent="0.25">
      <c r="C4" s="55" t="s">
        <v>35</v>
      </c>
    </row>
    <row r="5" spans="3:13" x14ac:dyDescent="0.25">
      <c r="D5" s="101" t="s">
        <v>63</v>
      </c>
      <c r="E5" s="102"/>
      <c r="F5" s="102"/>
      <c r="G5" s="102"/>
      <c r="I5" s="101" t="s">
        <v>85</v>
      </c>
      <c r="J5" s="102"/>
      <c r="K5" s="102"/>
      <c r="L5" s="2"/>
    </row>
    <row r="6" spans="3:13" ht="78.75" customHeight="1" x14ac:dyDescent="0.25">
      <c r="C6" s="3" t="s">
        <v>0</v>
      </c>
      <c r="D6" s="74" t="s">
        <v>70</v>
      </c>
      <c r="E6" s="74" t="s">
        <v>71</v>
      </c>
      <c r="F6" s="74" t="s">
        <v>72</v>
      </c>
      <c r="G6" s="74" t="s">
        <v>73</v>
      </c>
      <c r="H6" s="2"/>
      <c r="I6" s="74" t="s">
        <v>74</v>
      </c>
      <c r="J6" s="74" t="s">
        <v>75</v>
      </c>
      <c r="K6" s="74" t="s">
        <v>76</v>
      </c>
      <c r="L6" s="52"/>
      <c r="M6" s="74" t="s">
        <v>77</v>
      </c>
    </row>
    <row r="7" spans="3:13" x14ac:dyDescent="0.25">
      <c r="L7" s="26"/>
    </row>
    <row r="8" spans="3:13" x14ac:dyDescent="0.25">
      <c r="C8" t="s">
        <v>4</v>
      </c>
      <c r="D8" s="7">
        <v>125500</v>
      </c>
      <c r="E8" s="7">
        <f>+D8*0.53</f>
        <v>66515</v>
      </c>
      <c r="F8" s="7">
        <f>+E8-G8</f>
        <v>59515</v>
      </c>
      <c r="G8" s="7">
        <f>IF(D8-118500&gt;0,D8-118500,0)</f>
        <v>7000</v>
      </c>
      <c r="I8" s="53">
        <f>+E8*1.02</f>
        <v>67845.3</v>
      </c>
      <c r="J8" s="7">
        <f>+I8-K8</f>
        <v>67845.3</v>
      </c>
      <c r="K8" s="7">
        <f>IF(H8-118500&gt;0,H8-118500,0)</f>
        <v>0</v>
      </c>
      <c r="L8" s="48"/>
      <c r="M8" s="53">
        <f>+I8+E8</f>
        <v>134360.29999999999</v>
      </c>
    </row>
    <row r="9" spans="3:13" x14ac:dyDescent="0.25">
      <c r="C9" t="s">
        <v>5</v>
      </c>
      <c r="D9" s="7">
        <v>15326.87</v>
      </c>
      <c r="E9" s="7">
        <f>+D9*0.53</f>
        <v>8123.2411000000011</v>
      </c>
      <c r="F9" s="7">
        <f>+E9-G9</f>
        <v>8123.2411000000011</v>
      </c>
      <c r="G9" s="7">
        <f t="shared" ref="G9:G17" si="0">IF(D9-118500&gt;0,D9-118500,0)</f>
        <v>0</v>
      </c>
      <c r="I9" s="53">
        <f t="shared" ref="I9:I17" si="1">+E9*1.02</f>
        <v>8285.705922000001</v>
      </c>
      <c r="J9" s="7">
        <f t="shared" ref="J9:J17" si="2">+I9-K9</f>
        <v>8285.705922000001</v>
      </c>
      <c r="K9" s="7">
        <f t="shared" ref="K9:K17" si="3">IF(H9-118500&gt;0,H9-118500,0)</f>
        <v>0</v>
      </c>
      <c r="L9" s="48"/>
      <c r="M9" s="53">
        <f t="shared" ref="M9:M17" si="4">+I9+E9</f>
        <v>16408.947022</v>
      </c>
    </row>
    <row r="10" spans="3:13" x14ac:dyDescent="0.25">
      <c r="C10" t="s">
        <v>6</v>
      </c>
      <c r="D10" s="7">
        <v>15362.856</v>
      </c>
      <c r="E10" s="7">
        <f t="shared" ref="E10:E17" si="5">+D10*0.53</f>
        <v>8142.3136800000002</v>
      </c>
      <c r="F10" s="7">
        <f>+E10-G10</f>
        <v>8142.3136800000002</v>
      </c>
      <c r="G10" s="7">
        <f t="shared" si="0"/>
        <v>0</v>
      </c>
      <c r="I10" s="53">
        <f t="shared" si="1"/>
        <v>8305.1599536000012</v>
      </c>
      <c r="J10" s="7">
        <f t="shared" si="2"/>
        <v>8305.1599536000012</v>
      </c>
      <c r="K10" s="7">
        <f t="shared" si="3"/>
        <v>0</v>
      </c>
      <c r="L10" s="48"/>
      <c r="M10" s="53">
        <f t="shared" si="4"/>
        <v>16447.473633600002</v>
      </c>
    </row>
    <row r="11" spans="3:13" x14ac:dyDescent="0.25">
      <c r="C11" t="s">
        <v>7</v>
      </c>
      <c r="D11" s="7">
        <v>119000</v>
      </c>
      <c r="E11" s="7">
        <f t="shared" si="5"/>
        <v>63070</v>
      </c>
      <c r="F11" s="7">
        <f>+E11-G11</f>
        <v>62570</v>
      </c>
      <c r="G11" s="7">
        <f t="shared" si="0"/>
        <v>500</v>
      </c>
      <c r="I11" s="53">
        <f t="shared" si="1"/>
        <v>64331.4</v>
      </c>
      <c r="J11" s="7">
        <f t="shared" si="2"/>
        <v>64331.4</v>
      </c>
      <c r="K11" s="7">
        <f t="shared" si="3"/>
        <v>0</v>
      </c>
      <c r="L11" s="48"/>
      <c r="M11" s="53">
        <f t="shared" si="4"/>
        <v>127401.4</v>
      </c>
    </row>
    <row r="12" spans="3:13" x14ac:dyDescent="0.25">
      <c r="C12" t="s">
        <v>8</v>
      </c>
      <c r="D12" s="7">
        <v>65326</v>
      </c>
      <c r="E12" s="7">
        <f t="shared" si="5"/>
        <v>34622.78</v>
      </c>
      <c r="F12" s="7">
        <f t="shared" ref="F12:F17" si="6">+E12-G12</f>
        <v>34622.78</v>
      </c>
      <c r="G12" s="7">
        <f t="shared" si="0"/>
        <v>0</v>
      </c>
      <c r="I12" s="53">
        <f t="shared" si="1"/>
        <v>35315.2356</v>
      </c>
      <c r="J12" s="7">
        <f t="shared" si="2"/>
        <v>35315.2356</v>
      </c>
      <c r="K12" s="7">
        <f t="shared" si="3"/>
        <v>0</v>
      </c>
      <c r="L12" s="48"/>
      <c r="M12" s="53">
        <f t="shared" si="4"/>
        <v>69938.015599999999</v>
      </c>
    </row>
    <row r="13" spans="3:13" x14ac:dyDescent="0.25">
      <c r="C13" t="s">
        <v>9</v>
      </c>
      <c r="D13" s="7">
        <v>15894</v>
      </c>
      <c r="E13" s="7">
        <f t="shared" si="5"/>
        <v>8423.82</v>
      </c>
      <c r="F13" s="7">
        <f t="shared" si="6"/>
        <v>8423.82</v>
      </c>
      <c r="G13" s="7">
        <f t="shared" si="0"/>
        <v>0</v>
      </c>
      <c r="I13" s="53">
        <f t="shared" si="1"/>
        <v>8592.2963999999993</v>
      </c>
      <c r="J13" s="7">
        <f t="shared" si="2"/>
        <v>8592.2963999999993</v>
      </c>
      <c r="K13" s="7">
        <f t="shared" si="3"/>
        <v>0</v>
      </c>
      <c r="L13" s="48"/>
      <c r="M13" s="53">
        <f t="shared" si="4"/>
        <v>17016.116399999999</v>
      </c>
    </row>
    <row r="14" spans="3:13" x14ac:dyDescent="0.25">
      <c r="C14" t="s">
        <v>10</v>
      </c>
      <c r="D14" s="7">
        <v>23695</v>
      </c>
      <c r="E14" s="7">
        <f t="shared" si="5"/>
        <v>12558.35</v>
      </c>
      <c r="F14" s="7">
        <f t="shared" si="6"/>
        <v>12558.35</v>
      </c>
      <c r="G14" s="7">
        <f t="shared" si="0"/>
        <v>0</v>
      </c>
      <c r="I14" s="53">
        <f t="shared" si="1"/>
        <v>12809.517</v>
      </c>
      <c r="J14" s="7">
        <f t="shared" si="2"/>
        <v>12809.517</v>
      </c>
      <c r="K14" s="7">
        <f t="shared" si="3"/>
        <v>0</v>
      </c>
      <c r="L14" s="48"/>
      <c r="M14" s="53">
        <f t="shared" si="4"/>
        <v>25367.866999999998</v>
      </c>
    </row>
    <row r="15" spans="3:13" x14ac:dyDescent="0.25">
      <c r="C15" t="s">
        <v>11</v>
      </c>
      <c r="D15" s="7">
        <v>40659</v>
      </c>
      <c r="E15" s="7">
        <f t="shared" si="5"/>
        <v>21549.27</v>
      </c>
      <c r="F15" s="7">
        <f t="shared" si="6"/>
        <v>21549.27</v>
      </c>
      <c r="G15" s="7">
        <f t="shared" si="0"/>
        <v>0</v>
      </c>
      <c r="I15" s="53">
        <f t="shared" si="1"/>
        <v>21980.255400000002</v>
      </c>
      <c r="J15" s="7">
        <f t="shared" si="2"/>
        <v>21980.255400000002</v>
      </c>
      <c r="K15" s="7">
        <f t="shared" si="3"/>
        <v>0</v>
      </c>
      <c r="L15" s="48"/>
      <c r="M15" s="53">
        <f t="shared" si="4"/>
        <v>43529.525399999999</v>
      </c>
    </row>
    <row r="16" spans="3:13" x14ac:dyDescent="0.25">
      <c r="C16" t="s">
        <v>12</v>
      </c>
      <c r="D16" s="7">
        <v>46958</v>
      </c>
      <c r="E16" s="7">
        <f t="shared" si="5"/>
        <v>24887.74</v>
      </c>
      <c r="F16" s="7">
        <f t="shared" si="6"/>
        <v>24887.74</v>
      </c>
      <c r="G16" s="7">
        <f t="shared" si="0"/>
        <v>0</v>
      </c>
      <c r="I16" s="53">
        <f t="shared" si="1"/>
        <v>25385.4948</v>
      </c>
      <c r="J16" s="7">
        <f t="shared" si="2"/>
        <v>25385.4948</v>
      </c>
      <c r="K16" s="7">
        <f t="shared" si="3"/>
        <v>0</v>
      </c>
      <c r="L16" s="48"/>
      <c r="M16" s="53">
        <f t="shared" si="4"/>
        <v>50273.234800000006</v>
      </c>
    </row>
    <row r="17" spans="1:15" x14ac:dyDescent="0.25">
      <c r="C17" t="s">
        <v>13</v>
      </c>
      <c r="D17" s="7">
        <v>47859</v>
      </c>
      <c r="E17" s="7">
        <f t="shared" si="5"/>
        <v>25365.27</v>
      </c>
      <c r="F17" s="7">
        <f t="shared" si="6"/>
        <v>25365.27</v>
      </c>
      <c r="G17" s="7">
        <f t="shared" si="0"/>
        <v>0</v>
      </c>
      <c r="I17" s="53">
        <f t="shared" si="1"/>
        <v>25872.575400000002</v>
      </c>
      <c r="J17" s="7">
        <f t="shared" si="2"/>
        <v>25872.575400000002</v>
      </c>
      <c r="K17" s="7">
        <f t="shared" si="3"/>
        <v>0</v>
      </c>
      <c r="L17" s="49"/>
      <c r="M17" s="53">
        <f t="shared" si="4"/>
        <v>51237.845400000006</v>
      </c>
    </row>
    <row r="18" spans="1:15" x14ac:dyDescent="0.25">
      <c r="D18" s="8"/>
      <c r="E18" s="8"/>
      <c r="F18" s="8"/>
      <c r="G18" s="8"/>
      <c r="I18" s="50"/>
      <c r="J18" s="50"/>
      <c r="K18" s="50"/>
      <c r="L18" s="49"/>
      <c r="M18" s="5"/>
    </row>
    <row r="19" spans="1:15" ht="40.200000000000003" thickBot="1" x14ac:dyDescent="0.3">
      <c r="A19" s="62" t="s">
        <v>54</v>
      </c>
      <c r="B19" t="s">
        <v>40</v>
      </c>
      <c r="C19" t="s">
        <v>2</v>
      </c>
      <c r="D19" s="12">
        <f>SUM(D8:D18)</f>
        <v>515580.72600000002</v>
      </c>
      <c r="E19" s="58">
        <f>SUM(E8:E18)</f>
        <v>273257.78477999999</v>
      </c>
      <c r="F19" s="7">
        <f>SUM(F8:F18)</f>
        <v>265757.78477999999</v>
      </c>
      <c r="G19" s="7">
        <f>SUM(G8:G18)</f>
        <v>7500</v>
      </c>
      <c r="I19" s="7">
        <f>SUM(I8:I18)</f>
        <v>278722.94047559996</v>
      </c>
      <c r="J19" s="7">
        <f>SUM(J8:J18)</f>
        <v>278722.94047559996</v>
      </c>
      <c r="K19" s="7">
        <f>SUM(K8:K18)</f>
        <v>0</v>
      </c>
      <c r="L19" s="29"/>
      <c r="M19" s="12">
        <f>SUM(M8:M18)</f>
        <v>551980.72525559994</v>
      </c>
    </row>
    <row r="20" spans="1:15" ht="13.8" thickTop="1" x14ac:dyDescent="0.25">
      <c r="D20" s="6"/>
      <c r="E20" s="59"/>
      <c r="F20" s="6"/>
      <c r="G20" s="6"/>
      <c r="I20" s="48"/>
      <c r="J20" s="48"/>
      <c r="K20" s="48"/>
      <c r="L20" s="48"/>
    </row>
    <row r="21" spans="1:15" s="66" customFormat="1" x14ac:dyDescent="0.25">
      <c r="B21" s="66" t="s">
        <v>39</v>
      </c>
      <c r="C21" s="75" t="s">
        <v>59</v>
      </c>
      <c r="D21" s="67"/>
      <c r="E21" s="68">
        <f>'[1]Lincoln Res Sum '!$E$26</f>
        <v>9.1800000000000007E-2</v>
      </c>
      <c r="F21" s="68">
        <f>+E21</f>
        <v>9.1800000000000007E-2</v>
      </c>
      <c r="G21" s="68">
        <f>+F21</f>
        <v>9.1800000000000007E-2</v>
      </c>
      <c r="I21" s="68">
        <f>+F21</f>
        <v>9.1800000000000007E-2</v>
      </c>
      <c r="J21" s="68">
        <f>+F21</f>
        <v>9.1800000000000007E-2</v>
      </c>
      <c r="K21" s="68">
        <f>+F21</f>
        <v>9.1800000000000007E-2</v>
      </c>
      <c r="L21" s="68"/>
    </row>
    <row r="22" spans="1:15" x14ac:dyDescent="0.25">
      <c r="F22" s="6"/>
      <c r="G22" s="6"/>
    </row>
    <row r="23" spans="1:15" ht="13.8" thickBot="1" x14ac:dyDescent="0.3">
      <c r="B23" t="s">
        <v>38</v>
      </c>
      <c r="C23" s="76" t="s">
        <v>60</v>
      </c>
      <c r="E23" s="12">
        <f>+E19*E21</f>
        <v>25085.064642804002</v>
      </c>
      <c r="F23" s="12">
        <f>+F19*F21</f>
        <v>24396.564642804002</v>
      </c>
      <c r="G23" s="12">
        <f>+G19*G21</f>
        <v>688.5</v>
      </c>
      <c r="I23" s="54">
        <f>+I19*I21</f>
        <v>25586.765935660078</v>
      </c>
      <c r="J23" s="54">
        <f>+J19*J21</f>
        <v>25586.765935660078</v>
      </c>
      <c r="K23" s="54">
        <f>+K19*K21</f>
        <v>0</v>
      </c>
      <c r="L23" s="51"/>
      <c r="M23" s="53">
        <f t="shared" ref="M23" si="7">+I23+E23</f>
        <v>50671.830578464083</v>
      </c>
      <c r="O23" s="9"/>
    </row>
    <row r="24" spans="1:15" ht="13.8" thickTop="1" x14ac:dyDescent="0.25">
      <c r="F24" s="6"/>
      <c r="G24" s="6"/>
      <c r="L24" s="26"/>
    </row>
    <row r="25" spans="1:15" x14ac:dyDescent="0.25">
      <c r="F25" s="6"/>
      <c r="G25" s="6"/>
      <c r="L25" s="26"/>
    </row>
    <row r="26" spans="1:15" x14ac:dyDescent="0.25">
      <c r="A26" s="66"/>
      <c r="B26" t="s">
        <v>41</v>
      </c>
      <c r="C26" s="69" t="s">
        <v>57</v>
      </c>
      <c r="E26" s="9">
        <f>'[1]Lincoln Res Sum '!$E$30+'[1]Lincoln Res Sum '!$E$34+'[1]Lincoln Res Sum '!$E$38+'[1]Lincoln Res Sum '!$E$42</f>
        <v>0.19380000000000003</v>
      </c>
      <c r="F26" s="9">
        <f>E26</f>
        <v>0.19380000000000003</v>
      </c>
      <c r="G26" s="9">
        <f>E26</f>
        <v>0.19380000000000003</v>
      </c>
      <c r="I26" s="9">
        <f>+F26</f>
        <v>0.19380000000000003</v>
      </c>
      <c r="J26" s="9">
        <f>+F26</f>
        <v>0.19380000000000003</v>
      </c>
      <c r="K26" s="9">
        <f>+F26</f>
        <v>0.19380000000000003</v>
      </c>
      <c r="L26" s="30"/>
    </row>
    <row r="27" spans="1:15" x14ac:dyDescent="0.25">
      <c r="F27" s="6"/>
      <c r="G27" s="6"/>
      <c r="L27" s="26"/>
    </row>
    <row r="28" spans="1:15" ht="13.95" customHeight="1" thickBot="1" x14ac:dyDescent="0.3">
      <c r="B28" t="s">
        <v>42</v>
      </c>
      <c r="C28" s="99" t="s">
        <v>3</v>
      </c>
      <c r="D28" s="99"/>
      <c r="E28" s="12">
        <f>+E19*E26</f>
        <v>52957.358690364003</v>
      </c>
      <c r="F28" s="12">
        <f>+F19*F26</f>
        <v>51503.858690364003</v>
      </c>
      <c r="G28" s="12">
        <f>+G19*G26</f>
        <v>1453.5000000000002</v>
      </c>
      <c r="I28" s="54">
        <f>+I19*I26</f>
        <v>54016.505864171282</v>
      </c>
      <c r="J28" s="54">
        <f>+J19*J26</f>
        <v>54016.505864171282</v>
      </c>
      <c r="K28" s="54">
        <f>+K19*K26</f>
        <v>0</v>
      </c>
      <c r="L28" s="51"/>
      <c r="M28" s="53">
        <f t="shared" ref="M28" si="8">+I28+E28</f>
        <v>106973.86455453528</v>
      </c>
    </row>
    <row r="29" spans="1:15" ht="13.8" thickTop="1" x14ac:dyDescent="0.25">
      <c r="G29" s="7"/>
      <c r="M29" s="7"/>
    </row>
    <row r="30" spans="1:15" ht="28.95" customHeight="1" x14ac:dyDescent="0.25">
      <c r="B30" t="s">
        <v>43</v>
      </c>
      <c r="C30" s="100" t="s">
        <v>61</v>
      </c>
      <c r="D30" s="99"/>
      <c r="E30" s="7">
        <f>+E28+E23</f>
        <v>78042.423333168001</v>
      </c>
      <c r="F30" s="7">
        <f>+F23+F28</f>
        <v>75900.423333168001</v>
      </c>
      <c r="G30" s="7">
        <f>+G23+G28-0.25</f>
        <v>2141.75</v>
      </c>
      <c r="I30" s="7">
        <f>+I28+I23-0.25</f>
        <v>79603.02179983136</v>
      </c>
      <c r="J30" s="7">
        <f>+J28+J23-0.25</f>
        <v>79603.02179983136</v>
      </c>
      <c r="K30" s="7">
        <f>+K28+K23</f>
        <v>0</v>
      </c>
      <c r="L30" s="48"/>
      <c r="M30" s="7"/>
    </row>
    <row r="31" spans="1:15" x14ac:dyDescent="0.25">
      <c r="C31" s="1"/>
      <c r="M31" s="7"/>
    </row>
    <row r="32" spans="1:15" x14ac:dyDescent="0.25">
      <c r="C32" s="1" t="s">
        <v>20</v>
      </c>
      <c r="E32" s="65">
        <f>Summary!R20</f>
        <v>0.23849999999999999</v>
      </c>
      <c r="F32" s="9">
        <v>7.6499999999999999E-2</v>
      </c>
      <c r="G32" s="9">
        <v>1.4500000000000001E-2</v>
      </c>
      <c r="I32" s="65">
        <f>Summary!R20</f>
        <v>0.23849999999999999</v>
      </c>
      <c r="J32" s="47">
        <v>7.6499999999999999E-2</v>
      </c>
      <c r="K32" s="47">
        <v>1.4500000000000001E-2</v>
      </c>
      <c r="L32" s="47"/>
      <c r="M32" s="7"/>
    </row>
    <row r="33" spans="2:13" x14ac:dyDescent="0.25">
      <c r="C33" s="1"/>
      <c r="F33" s="9"/>
      <c r="G33" s="9"/>
      <c r="I33" s="71" t="s">
        <v>56</v>
      </c>
      <c r="M33" s="7"/>
    </row>
    <row r="34" spans="2:13" ht="13.8" thickBot="1" x14ac:dyDescent="0.3">
      <c r="C34" s="1" t="s">
        <v>37</v>
      </c>
      <c r="D34" s="29"/>
      <c r="E34" s="12">
        <f>+E30*E32</f>
        <v>18613.117964960566</v>
      </c>
      <c r="F34" s="12">
        <f>+F30*F32</f>
        <v>5806.3823849873515</v>
      </c>
      <c r="G34" s="12">
        <f>+G30*G32</f>
        <v>31.055375000000002</v>
      </c>
      <c r="I34" s="12">
        <f>+I30*I32</f>
        <v>18985.320699259777</v>
      </c>
      <c r="J34" s="12">
        <f>+J30*J32</f>
        <v>6089.6311676870992</v>
      </c>
      <c r="K34" s="12">
        <f>+K30*K32</f>
        <v>0</v>
      </c>
      <c r="L34" s="29"/>
      <c r="M34" s="12">
        <f>SUM(E34:K34)+1</f>
        <v>49526.507591894791</v>
      </c>
    </row>
    <row r="35" spans="2:13" ht="9" customHeight="1" thickTop="1" x14ac:dyDescent="0.25"/>
    <row r="36" spans="2:13" ht="15.6" customHeight="1" x14ac:dyDescent="0.3">
      <c r="B36" s="70" t="s">
        <v>36</v>
      </c>
      <c r="C36" s="97" t="s">
        <v>50</v>
      </c>
      <c r="D36" s="97"/>
      <c r="E36" s="97"/>
      <c r="F36" s="97"/>
      <c r="G36" s="97"/>
      <c r="H36" s="97"/>
      <c r="I36" s="97"/>
      <c r="J36" s="97"/>
      <c r="K36" s="97"/>
      <c r="L36" s="97"/>
      <c r="M36" s="97"/>
    </row>
    <row r="37" spans="2:13" ht="9" customHeight="1" x14ac:dyDescent="0.25"/>
    <row r="38" spans="2:13" ht="13.2" customHeight="1" x14ac:dyDescent="0.25">
      <c r="B38" t="s">
        <v>44</v>
      </c>
      <c r="C38" s="98" t="s">
        <v>49</v>
      </c>
      <c r="D38" s="98"/>
      <c r="E38" s="98"/>
      <c r="F38" s="98"/>
      <c r="G38" s="98"/>
      <c r="H38" s="98"/>
      <c r="I38" s="98"/>
      <c r="J38" s="98"/>
      <c r="K38" s="98"/>
      <c r="L38" s="98"/>
      <c r="M38" s="98"/>
    </row>
    <row r="39" spans="2:13" ht="9" customHeight="1" x14ac:dyDescent="0.25"/>
    <row r="40" spans="2:13" ht="25.95" customHeight="1" x14ac:dyDescent="0.25">
      <c r="B40" t="s">
        <v>45</v>
      </c>
      <c r="C40" s="100" t="s">
        <v>78</v>
      </c>
      <c r="D40" s="99"/>
      <c r="E40" s="99"/>
      <c r="F40" s="99"/>
      <c r="G40" s="99"/>
      <c r="H40" s="99"/>
      <c r="I40" s="99"/>
      <c r="J40" s="99"/>
      <c r="K40" s="99"/>
      <c r="L40" s="99"/>
      <c r="M40" s="99"/>
    </row>
    <row r="41" spans="2:13" ht="9" customHeight="1" x14ac:dyDescent="0.25"/>
    <row r="42" spans="2:13" x14ac:dyDescent="0.25">
      <c r="B42" t="s">
        <v>46</v>
      </c>
      <c r="C42" s="100" t="s">
        <v>81</v>
      </c>
      <c r="D42" s="99"/>
      <c r="E42" s="99"/>
      <c r="F42" s="99"/>
      <c r="G42" s="99"/>
      <c r="H42" s="99"/>
      <c r="I42" s="99"/>
      <c r="J42" s="99"/>
      <c r="K42" s="99"/>
      <c r="L42" s="99"/>
      <c r="M42" s="99"/>
    </row>
    <row r="44" spans="2:13" ht="25.2" customHeight="1" x14ac:dyDescent="0.25">
      <c r="B44" t="s">
        <v>47</v>
      </c>
      <c r="C44" s="100" t="s">
        <v>80</v>
      </c>
      <c r="D44" s="99"/>
      <c r="E44" s="99"/>
      <c r="F44" s="99"/>
      <c r="G44" s="99"/>
      <c r="H44" s="99"/>
      <c r="I44" s="99"/>
      <c r="J44" s="99"/>
      <c r="K44" s="99"/>
      <c r="L44" s="99"/>
      <c r="M44" s="99"/>
    </row>
    <row r="46" spans="2:13" x14ac:dyDescent="0.25">
      <c r="B46" t="s">
        <v>48</v>
      </c>
      <c r="C46" s="100" t="s">
        <v>79</v>
      </c>
      <c r="D46" s="99"/>
      <c r="E46" s="99"/>
      <c r="F46" s="99"/>
      <c r="G46" s="99"/>
      <c r="H46" s="99"/>
      <c r="I46" s="99"/>
      <c r="J46" s="99"/>
      <c r="K46" s="99"/>
      <c r="L46" s="99"/>
      <c r="M46" s="99"/>
    </row>
    <row r="48" spans="2:13" ht="21.75" customHeight="1" x14ac:dyDescent="0.25">
      <c r="C48" s="103" t="s">
        <v>87</v>
      </c>
      <c r="D48" s="104"/>
      <c r="E48" s="104"/>
      <c r="F48" s="104"/>
      <c r="G48" s="104"/>
      <c r="H48" s="104"/>
      <c r="I48" s="104"/>
      <c r="J48" s="104"/>
    </row>
  </sheetData>
  <mergeCells count="13">
    <mergeCell ref="C48:J48"/>
    <mergeCell ref="C40:M40"/>
    <mergeCell ref="C42:M42"/>
    <mergeCell ref="C44:M44"/>
    <mergeCell ref="C46:M46"/>
    <mergeCell ref="C1:M1"/>
    <mergeCell ref="C2:M2"/>
    <mergeCell ref="C36:M36"/>
    <mergeCell ref="C38:M38"/>
    <mergeCell ref="C28:D28"/>
    <mergeCell ref="C30:D30"/>
    <mergeCell ref="D5:G5"/>
    <mergeCell ref="I5:K5"/>
  </mergeCells>
  <phoneticPr fontId="0" type="noConversion"/>
  <printOptions horizontalCentered="1" verticalCentered="1" gridLines="1"/>
  <pageMargins left="1" right="1" top="0.75" bottom="0.75" header="0.5" footer="0.5"/>
  <pageSetup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50"/>
  <sheetViews>
    <sheetView zoomScale="80" zoomScaleNormal="80" workbookViewId="0">
      <selection activeCell="C51" sqref="C51"/>
    </sheetView>
  </sheetViews>
  <sheetFormatPr defaultRowHeight="13.2" x14ac:dyDescent="0.25"/>
  <cols>
    <col min="2" max="2" width="4.5546875" customWidth="1"/>
    <col min="3" max="3" width="33.5546875" customWidth="1"/>
    <col min="4" max="4" width="16.5546875" customWidth="1"/>
    <col min="5" max="5" width="16.6640625" customWidth="1"/>
    <col min="6" max="6" width="18.6640625" customWidth="1"/>
    <col min="7" max="7" width="18.5546875" customWidth="1"/>
    <col min="8" max="8" width="2.33203125" customWidth="1"/>
    <col min="9" max="9" width="18.6640625" customWidth="1"/>
    <col min="10" max="11" width="20.6640625" customWidth="1"/>
    <col min="12" max="12" width="2.88671875" customWidth="1"/>
    <col min="13" max="13" width="16.6640625" customWidth="1"/>
  </cols>
  <sheetData>
    <row r="1" spans="3:13" ht="15.6" x14ac:dyDescent="0.3">
      <c r="C1" s="96" t="s">
        <v>1</v>
      </c>
      <c r="D1" s="96"/>
      <c r="E1" s="96"/>
      <c r="F1" s="96"/>
      <c r="G1" s="96"/>
      <c r="H1" s="96"/>
      <c r="I1" s="96"/>
      <c r="J1" s="96"/>
      <c r="K1" s="96"/>
      <c r="L1" s="96"/>
      <c r="M1" s="96"/>
    </row>
    <row r="2" spans="3:13" ht="15.6" x14ac:dyDescent="0.3">
      <c r="C2" s="96" t="s">
        <v>51</v>
      </c>
      <c r="D2" s="96"/>
      <c r="E2" s="96"/>
      <c r="F2" s="96"/>
      <c r="G2" s="96"/>
      <c r="H2" s="96"/>
      <c r="I2" s="96"/>
      <c r="J2" s="96"/>
      <c r="K2" s="96"/>
      <c r="L2" s="96"/>
      <c r="M2" s="96"/>
    </row>
    <row r="4" spans="3:13" x14ac:dyDescent="0.25">
      <c r="C4" s="55" t="s">
        <v>34</v>
      </c>
    </row>
    <row r="5" spans="3:13" x14ac:dyDescent="0.25">
      <c r="D5" s="101" t="s">
        <v>63</v>
      </c>
      <c r="E5" s="102"/>
      <c r="F5" s="102"/>
      <c r="G5" s="102"/>
      <c r="I5" s="101" t="s">
        <v>85</v>
      </c>
      <c r="J5" s="102"/>
      <c r="K5" s="102"/>
      <c r="L5" s="81"/>
    </row>
    <row r="6" spans="3:13" ht="78.75" customHeight="1" x14ac:dyDescent="0.25">
      <c r="C6" s="3" t="s">
        <v>0</v>
      </c>
      <c r="D6" s="74" t="s">
        <v>70</v>
      </c>
      <c r="E6" s="74" t="s">
        <v>71</v>
      </c>
      <c r="F6" s="74" t="s">
        <v>83</v>
      </c>
      <c r="G6" s="74" t="s">
        <v>73</v>
      </c>
      <c r="H6" s="81"/>
      <c r="I6" s="74" t="s">
        <v>74</v>
      </c>
      <c r="J6" s="74" t="s">
        <v>75</v>
      </c>
      <c r="K6" s="74" t="s">
        <v>76</v>
      </c>
      <c r="L6" s="52"/>
      <c r="M6" s="74" t="s">
        <v>84</v>
      </c>
    </row>
    <row r="8" spans="3:13" x14ac:dyDescent="0.25">
      <c r="C8" t="s">
        <v>23</v>
      </c>
      <c r="D8" s="7">
        <v>154632</v>
      </c>
      <c r="E8" s="7">
        <f>+D8*0.53</f>
        <v>81954.960000000006</v>
      </c>
      <c r="F8" s="7">
        <f t="shared" ref="F8:F19" si="0">+E8-G8</f>
        <v>45822.960000000006</v>
      </c>
      <c r="G8" s="7">
        <f>IF(D8-118500&gt;0,D8-118500,0)</f>
        <v>36132</v>
      </c>
      <c r="I8" s="56">
        <f>+E8*1.02</f>
        <v>83594.059200000003</v>
      </c>
      <c r="J8" s="57">
        <f>+I8</f>
        <v>83594.059200000003</v>
      </c>
      <c r="K8" s="7">
        <f>IF(H8-118500&gt;0,H8-118500,0)</f>
        <v>0</v>
      </c>
      <c r="M8" s="7">
        <f>+I8+E8</f>
        <v>165549.01920000001</v>
      </c>
    </row>
    <row r="9" spans="3:13" x14ac:dyDescent="0.25">
      <c r="C9" t="s">
        <v>24</v>
      </c>
      <c r="D9" s="7">
        <v>53698</v>
      </c>
      <c r="E9" s="7">
        <f t="shared" ref="E9:E19" si="1">+D9*0.53</f>
        <v>28459.940000000002</v>
      </c>
      <c r="F9" s="7">
        <f t="shared" si="0"/>
        <v>28459.940000000002</v>
      </c>
      <c r="G9" s="7">
        <f t="shared" ref="G9:G19" si="2">IF(D9-118500&gt;0,D9-118500,0)</f>
        <v>0</v>
      </c>
      <c r="I9" s="56">
        <f t="shared" ref="I9:I19" si="3">+E9*1.02</f>
        <v>29029.138800000004</v>
      </c>
      <c r="J9" s="57">
        <f t="shared" ref="J9:J19" si="4">+I9</f>
        <v>29029.138800000004</v>
      </c>
      <c r="K9" s="7">
        <f t="shared" ref="K9:K19" si="5">IF(H9-118500&gt;0,H9-118500,0)</f>
        <v>0</v>
      </c>
      <c r="M9" s="7">
        <f t="shared" ref="M9:M19" si="6">+I9+E9</f>
        <v>57489.078800000003</v>
      </c>
    </row>
    <row r="10" spans="3:13" x14ac:dyDescent="0.25">
      <c r="C10" t="s">
        <v>25</v>
      </c>
      <c r="D10" s="7">
        <v>54789</v>
      </c>
      <c r="E10" s="7">
        <f t="shared" si="1"/>
        <v>29038.170000000002</v>
      </c>
      <c r="F10" s="7">
        <f t="shared" si="0"/>
        <v>29038.170000000002</v>
      </c>
      <c r="G10" s="7">
        <f t="shared" si="2"/>
        <v>0</v>
      </c>
      <c r="I10" s="56">
        <f t="shared" si="3"/>
        <v>29618.933400000002</v>
      </c>
      <c r="J10" s="57">
        <f t="shared" si="4"/>
        <v>29618.933400000002</v>
      </c>
      <c r="K10" s="7">
        <f t="shared" si="5"/>
        <v>0</v>
      </c>
      <c r="M10" s="7">
        <f t="shared" si="6"/>
        <v>58657.103400000007</v>
      </c>
    </row>
    <row r="11" spans="3:13" x14ac:dyDescent="0.25">
      <c r="C11" t="s">
        <v>26</v>
      </c>
      <c r="D11" s="7">
        <v>52369</v>
      </c>
      <c r="E11" s="7">
        <f t="shared" si="1"/>
        <v>27755.57</v>
      </c>
      <c r="F11" s="7">
        <f t="shared" si="0"/>
        <v>27755.57</v>
      </c>
      <c r="G11" s="7">
        <f t="shared" si="2"/>
        <v>0</v>
      </c>
      <c r="I11" s="56">
        <f t="shared" si="3"/>
        <v>28310.681400000001</v>
      </c>
      <c r="J11" s="57">
        <f t="shared" si="4"/>
        <v>28310.681400000001</v>
      </c>
      <c r="K11" s="7">
        <f t="shared" si="5"/>
        <v>0</v>
      </c>
      <c r="M11" s="7">
        <f t="shared" si="6"/>
        <v>56066.251400000001</v>
      </c>
    </row>
    <row r="12" spans="3:13" x14ac:dyDescent="0.25">
      <c r="C12" t="s">
        <v>27</v>
      </c>
      <c r="D12" s="7">
        <v>120000</v>
      </c>
      <c r="E12" s="7">
        <f t="shared" si="1"/>
        <v>63600</v>
      </c>
      <c r="F12" s="7">
        <f>+E12-G12</f>
        <v>62100</v>
      </c>
      <c r="G12" s="7">
        <f t="shared" si="2"/>
        <v>1500</v>
      </c>
      <c r="I12" s="56">
        <f t="shared" si="3"/>
        <v>64872</v>
      </c>
      <c r="J12" s="57">
        <f t="shared" si="4"/>
        <v>64872</v>
      </c>
      <c r="K12" s="7">
        <f t="shared" si="5"/>
        <v>0</v>
      </c>
      <c r="M12" s="7">
        <f t="shared" si="6"/>
        <v>128472</v>
      </c>
    </row>
    <row r="13" spans="3:13" x14ac:dyDescent="0.25">
      <c r="C13" t="s">
        <v>28</v>
      </c>
      <c r="D13" s="7">
        <v>69321</v>
      </c>
      <c r="E13" s="7">
        <f t="shared" si="1"/>
        <v>36740.130000000005</v>
      </c>
      <c r="F13" s="7">
        <f t="shared" si="0"/>
        <v>36740.130000000005</v>
      </c>
      <c r="G13" s="7">
        <f t="shared" si="2"/>
        <v>0</v>
      </c>
      <c r="I13" s="56">
        <f t="shared" si="3"/>
        <v>37474.932600000007</v>
      </c>
      <c r="J13" s="57">
        <f t="shared" si="4"/>
        <v>37474.932600000007</v>
      </c>
      <c r="K13" s="7">
        <f t="shared" si="5"/>
        <v>0</v>
      </c>
      <c r="M13" s="7">
        <f t="shared" si="6"/>
        <v>74215.062600000005</v>
      </c>
    </row>
    <row r="14" spans="3:13" x14ac:dyDescent="0.25">
      <c r="C14" t="s">
        <v>29</v>
      </c>
      <c r="D14" s="7">
        <v>56985</v>
      </c>
      <c r="E14" s="7">
        <f t="shared" si="1"/>
        <v>30202.050000000003</v>
      </c>
      <c r="F14" s="7">
        <f t="shared" si="0"/>
        <v>30202.050000000003</v>
      </c>
      <c r="G14" s="7">
        <f t="shared" si="2"/>
        <v>0</v>
      </c>
      <c r="I14" s="56">
        <f t="shared" si="3"/>
        <v>30806.091000000004</v>
      </c>
      <c r="J14" s="57">
        <f t="shared" si="4"/>
        <v>30806.091000000004</v>
      </c>
      <c r="K14" s="7">
        <f t="shared" si="5"/>
        <v>0</v>
      </c>
      <c r="M14" s="7">
        <f t="shared" si="6"/>
        <v>61008.141000000003</v>
      </c>
    </row>
    <row r="15" spans="3:13" x14ac:dyDescent="0.25">
      <c r="C15" t="s">
        <v>30</v>
      </c>
      <c r="D15" s="7">
        <v>112500</v>
      </c>
      <c r="E15" s="7">
        <f t="shared" si="1"/>
        <v>59625</v>
      </c>
      <c r="F15" s="7">
        <f t="shared" si="0"/>
        <v>59625</v>
      </c>
      <c r="G15" s="7">
        <f t="shared" si="2"/>
        <v>0</v>
      </c>
      <c r="I15" s="56">
        <f t="shared" si="3"/>
        <v>60817.5</v>
      </c>
      <c r="J15" s="57">
        <f t="shared" si="4"/>
        <v>60817.5</v>
      </c>
      <c r="K15" s="7">
        <f t="shared" si="5"/>
        <v>0</v>
      </c>
      <c r="M15" s="7">
        <f t="shared" si="6"/>
        <v>120442.5</v>
      </c>
    </row>
    <row r="16" spans="3:13" x14ac:dyDescent="0.25">
      <c r="C16" t="s">
        <v>31</v>
      </c>
      <c r="D16" s="7">
        <v>75326</v>
      </c>
      <c r="E16" s="7">
        <f t="shared" si="1"/>
        <v>39922.78</v>
      </c>
      <c r="F16" s="7">
        <f t="shared" si="0"/>
        <v>39922.78</v>
      </c>
      <c r="G16" s="7">
        <f t="shared" si="2"/>
        <v>0</v>
      </c>
      <c r="I16" s="56">
        <f t="shared" si="3"/>
        <v>40721.2356</v>
      </c>
      <c r="J16" s="57">
        <f t="shared" si="4"/>
        <v>40721.2356</v>
      </c>
      <c r="K16" s="7">
        <f t="shared" si="5"/>
        <v>0</v>
      </c>
      <c r="M16" s="7">
        <f t="shared" si="6"/>
        <v>80644.015599999999</v>
      </c>
    </row>
    <row r="17" spans="1:15" x14ac:dyDescent="0.25">
      <c r="A17" s="105" t="s">
        <v>55</v>
      </c>
      <c r="C17" t="s">
        <v>32</v>
      </c>
      <c r="D17" s="7">
        <v>73254</v>
      </c>
      <c r="E17" s="7">
        <f t="shared" si="1"/>
        <v>38824.620000000003</v>
      </c>
      <c r="F17" s="7">
        <f t="shared" si="0"/>
        <v>38824.620000000003</v>
      </c>
      <c r="G17" s="7">
        <f t="shared" si="2"/>
        <v>0</v>
      </c>
      <c r="I17" s="56">
        <f t="shared" si="3"/>
        <v>39601.112400000005</v>
      </c>
      <c r="J17" s="57">
        <f t="shared" si="4"/>
        <v>39601.112400000005</v>
      </c>
      <c r="K17" s="7">
        <f t="shared" si="5"/>
        <v>0</v>
      </c>
      <c r="M17" s="7">
        <f t="shared" si="6"/>
        <v>78425.732400000008</v>
      </c>
    </row>
    <row r="18" spans="1:15" ht="16.95" customHeight="1" x14ac:dyDescent="0.25">
      <c r="A18" s="105"/>
      <c r="C18" t="s">
        <v>13</v>
      </c>
      <c r="D18" s="7">
        <v>63526</v>
      </c>
      <c r="E18" s="7">
        <f t="shared" si="1"/>
        <v>33668.78</v>
      </c>
      <c r="F18" s="7">
        <f t="shared" si="0"/>
        <v>33668.78</v>
      </c>
      <c r="G18" s="7">
        <f t="shared" si="2"/>
        <v>0</v>
      </c>
      <c r="I18" s="56">
        <f t="shared" si="3"/>
        <v>34342.155599999998</v>
      </c>
      <c r="J18" s="57">
        <f t="shared" si="4"/>
        <v>34342.155599999998</v>
      </c>
      <c r="K18" s="7">
        <f t="shared" si="5"/>
        <v>0</v>
      </c>
      <c r="M18" s="7">
        <f t="shared" si="6"/>
        <v>68010.935599999997</v>
      </c>
    </row>
    <row r="19" spans="1:15" x14ac:dyDescent="0.25">
      <c r="A19" s="105"/>
      <c r="C19" t="s">
        <v>33</v>
      </c>
      <c r="D19" s="7">
        <v>24563</v>
      </c>
      <c r="E19" s="7">
        <f t="shared" si="1"/>
        <v>13018.390000000001</v>
      </c>
      <c r="F19" s="7">
        <f t="shared" si="0"/>
        <v>13018.390000000001</v>
      </c>
      <c r="G19" s="7">
        <f t="shared" si="2"/>
        <v>0</v>
      </c>
      <c r="I19" s="56">
        <f t="shared" si="3"/>
        <v>13278.757800000001</v>
      </c>
      <c r="J19" s="57">
        <f t="shared" si="4"/>
        <v>13278.757800000001</v>
      </c>
      <c r="K19" s="7">
        <f t="shared" si="5"/>
        <v>0</v>
      </c>
      <c r="M19" s="7">
        <f t="shared" si="6"/>
        <v>26297.147800000002</v>
      </c>
    </row>
    <row r="20" spans="1:15" x14ac:dyDescent="0.25">
      <c r="A20" s="1"/>
      <c r="D20" s="7"/>
      <c r="E20" s="7"/>
      <c r="F20" s="7"/>
      <c r="G20" s="7"/>
    </row>
    <row r="21" spans="1:15" ht="13.8" thickBot="1" x14ac:dyDescent="0.3">
      <c r="B21" t="s">
        <v>40</v>
      </c>
      <c r="C21" t="s">
        <v>2</v>
      </c>
      <c r="D21" s="12">
        <f>SUM(D8:D20)</f>
        <v>910963</v>
      </c>
      <c r="E21" s="12">
        <f>SUM(E8:E20)</f>
        <v>482810.39</v>
      </c>
      <c r="F21" s="12">
        <f>SUM(F8:F20)</f>
        <v>445178.39</v>
      </c>
      <c r="G21" s="12">
        <f>SUM(G8:G20)</f>
        <v>37632</v>
      </c>
      <c r="I21" s="12">
        <f>SUM(I8:I20)</f>
        <v>492466.59780000005</v>
      </c>
      <c r="J21" s="12">
        <f>SUM(J8:J20)</f>
        <v>492466.59780000005</v>
      </c>
      <c r="K21" s="12">
        <f>SUM(K8:K20)</f>
        <v>0</v>
      </c>
      <c r="L21" s="29"/>
      <c r="M21" s="12">
        <f>SUM(M8:M20)</f>
        <v>975276.9878</v>
      </c>
    </row>
    <row r="22" spans="1:15" ht="13.8" thickTop="1" x14ac:dyDescent="0.25">
      <c r="D22" s="6"/>
      <c r="E22" s="59"/>
      <c r="F22" s="6"/>
      <c r="G22" s="6"/>
      <c r="I22" s="48"/>
      <c r="J22" s="48"/>
      <c r="K22" s="48"/>
      <c r="L22" s="48"/>
    </row>
    <row r="23" spans="1:15" x14ac:dyDescent="0.25">
      <c r="B23" t="s">
        <v>39</v>
      </c>
      <c r="C23" s="75" t="s">
        <v>59</v>
      </c>
      <c r="D23" s="67"/>
      <c r="E23" s="9">
        <v>0.1515</v>
      </c>
      <c r="F23" s="9">
        <f>+E23</f>
        <v>0.1515</v>
      </c>
      <c r="G23" s="9">
        <f>+F23</f>
        <v>0.1515</v>
      </c>
      <c r="I23" s="9">
        <f>+F23</f>
        <v>0.1515</v>
      </c>
      <c r="J23" s="9">
        <f>+F23</f>
        <v>0.1515</v>
      </c>
      <c r="K23" s="9">
        <f>+F23</f>
        <v>0.1515</v>
      </c>
      <c r="L23" s="9"/>
    </row>
    <row r="24" spans="1:15" x14ac:dyDescent="0.25">
      <c r="F24" s="6"/>
      <c r="G24" s="6"/>
    </row>
    <row r="25" spans="1:15" ht="13.8" thickBot="1" x14ac:dyDescent="0.3">
      <c r="B25" t="s">
        <v>38</v>
      </c>
      <c r="C25" s="76" t="s">
        <v>60</v>
      </c>
      <c r="E25" s="12">
        <f>+E21*E23</f>
        <v>73145.774084999997</v>
      </c>
      <c r="F25" s="12">
        <f>+F21*F23</f>
        <v>67444.526085000005</v>
      </c>
      <c r="G25" s="12">
        <f>+G21*G23</f>
        <v>5701.2479999999996</v>
      </c>
      <c r="I25" s="54">
        <f>+I21*I23</f>
        <v>74608.689566700006</v>
      </c>
      <c r="J25" s="54">
        <f>+J21*J23</f>
        <v>74608.689566700006</v>
      </c>
      <c r="K25" s="54">
        <f>+K21*K23</f>
        <v>0</v>
      </c>
      <c r="L25" s="51"/>
      <c r="M25" s="54">
        <f>+I25+G25+F25</f>
        <v>147754.4636517</v>
      </c>
      <c r="O25" s="9"/>
    </row>
    <row r="26" spans="1:15" ht="13.8" thickTop="1" x14ac:dyDescent="0.25">
      <c r="F26" s="6"/>
      <c r="G26" s="6"/>
      <c r="L26" s="26"/>
    </row>
    <row r="27" spans="1:15" x14ac:dyDescent="0.25">
      <c r="F27" s="6"/>
      <c r="G27" s="6"/>
      <c r="L27" s="26"/>
    </row>
    <row r="28" spans="1:15" x14ac:dyDescent="0.25">
      <c r="B28" t="s">
        <v>41</v>
      </c>
      <c r="C28" s="69" t="s">
        <v>57</v>
      </c>
      <c r="E28" s="61">
        <f>'[1]Washington Res Sum '!$E$30+'[1]Washington Res Sum '!$E$34+'[1]Washington Res Sum '!$E$38+'[1]Washington Res Sum '!$E$42</f>
        <v>0.14389999999999997</v>
      </c>
      <c r="F28" s="9">
        <f>+E28</f>
        <v>0.14389999999999997</v>
      </c>
      <c r="G28" s="9">
        <f>+F28</f>
        <v>0.14389999999999997</v>
      </c>
      <c r="I28" s="9">
        <f>+F28</f>
        <v>0.14389999999999997</v>
      </c>
      <c r="J28" s="9">
        <f>+F28</f>
        <v>0.14389999999999997</v>
      </c>
      <c r="K28" s="9">
        <f>+F28</f>
        <v>0.14389999999999997</v>
      </c>
      <c r="L28" s="30"/>
    </row>
    <row r="29" spans="1:15" x14ac:dyDescent="0.25">
      <c r="F29" s="6"/>
      <c r="G29" s="6"/>
      <c r="L29" s="26"/>
    </row>
    <row r="30" spans="1:15" ht="13.95" customHeight="1" thickBot="1" x14ac:dyDescent="0.3">
      <c r="B30" t="s">
        <v>42</v>
      </c>
      <c r="C30" s="99" t="s">
        <v>3</v>
      </c>
      <c r="D30" s="99"/>
      <c r="E30" s="12">
        <f>+E21*E28</f>
        <v>69476.415120999984</v>
      </c>
      <c r="F30" s="12">
        <f>+F21*F28</f>
        <v>64061.170320999991</v>
      </c>
      <c r="G30" s="12">
        <f>+G21*G28</f>
        <v>5415.2447999999986</v>
      </c>
      <c r="I30" s="54">
        <f>+I21*I28</f>
        <v>70865.943423419987</v>
      </c>
      <c r="J30" s="54">
        <f>+J21*J28</f>
        <v>70865.943423419987</v>
      </c>
      <c r="K30" s="54">
        <f>+K21*K28</f>
        <v>0</v>
      </c>
      <c r="L30" s="51"/>
      <c r="M30" s="54">
        <f>+I30+G30+F30</f>
        <v>140342.35854441999</v>
      </c>
    </row>
    <row r="31" spans="1:15" ht="13.8" thickTop="1" x14ac:dyDescent="0.25">
      <c r="M31" s="7"/>
    </row>
    <row r="32" spans="1:15" ht="28.95" customHeight="1" x14ac:dyDescent="0.25">
      <c r="B32" t="s">
        <v>43</v>
      </c>
      <c r="C32" s="100" t="s">
        <v>62</v>
      </c>
      <c r="D32" s="99"/>
      <c r="E32" s="7">
        <f>+E30+E25-0.25</f>
        <v>142621.93920599998</v>
      </c>
      <c r="F32" s="7">
        <f>+F25+F30-0.25</f>
        <v>131505.446406</v>
      </c>
      <c r="G32" s="7">
        <f>+G25+G30</f>
        <v>11116.492799999998</v>
      </c>
      <c r="I32" s="7">
        <f>+I30+I25-0.25</f>
        <v>145474.38299011998</v>
      </c>
      <c r="J32" s="7">
        <f>+J30+J25-0.25</f>
        <v>145474.38299011998</v>
      </c>
      <c r="K32" s="7">
        <f>+K30+K25</f>
        <v>0</v>
      </c>
      <c r="L32" s="48"/>
      <c r="M32" s="7"/>
    </row>
    <row r="33" spans="2:13" x14ac:dyDescent="0.25">
      <c r="C33" s="1"/>
      <c r="M33" s="7"/>
    </row>
    <row r="34" spans="2:13" x14ac:dyDescent="0.25">
      <c r="C34" s="1" t="s">
        <v>20</v>
      </c>
      <c r="E34" s="65">
        <f>Summary!R20</f>
        <v>0.23849999999999999</v>
      </c>
      <c r="F34" s="9">
        <v>7.6499999999999999E-2</v>
      </c>
      <c r="G34" s="9">
        <v>1.4500000000000001E-2</v>
      </c>
      <c r="I34" s="65">
        <f>Summary!R20</f>
        <v>0.23849999999999999</v>
      </c>
      <c r="J34" s="47">
        <v>7.6499999999999999E-2</v>
      </c>
      <c r="K34" s="47">
        <v>1.4500000000000001E-2</v>
      </c>
      <c r="L34" s="47"/>
      <c r="M34" s="7"/>
    </row>
    <row r="35" spans="2:13" x14ac:dyDescent="0.25">
      <c r="C35" s="1"/>
      <c r="E35" s="71" t="s">
        <v>56</v>
      </c>
      <c r="F35" s="9"/>
      <c r="G35" s="9"/>
      <c r="I35" s="71" t="s">
        <v>56</v>
      </c>
      <c r="M35" s="7"/>
    </row>
    <row r="36" spans="2:13" ht="15.75" customHeight="1" thickBot="1" x14ac:dyDescent="0.3">
      <c r="C36" s="1" t="s">
        <v>37</v>
      </c>
      <c r="D36" s="29"/>
      <c r="E36" s="12">
        <f>+E32*E34</f>
        <v>34015.332500630997</v>
      </c>
      <c r="F36" s="12">
        <f>+F32*F34</f>
        <v>10060.166650059</v>
      </c>
      <c r="G36" s="12">
        <f>+G32*G34</f>
        <v>161.18914559999999</v>
      </c>
      <c r="I36" s="12">
        <f>+I32*I34</f>
        <v>34695.640343143612</v>
      </c>
      <c r="J36" s="12">
        <f>+J32*J34</f>
        <v>11128.790298744178</v>
      </c>
      <c r="K36" s="12">
        <f>+K32*K34</f>
        <v>0</v>
      </c>
      <c r="L36" s="29"/>
      <c r="M36" s="12">
        <f>SUM(E36:K36)</f>
        <v>90061.11893817778</v>
      </c>
    </row>
    <row r="37" spans="2:13" ht="15" customHeight="1" thickTop="1" x14ac:dyDescent="0.25">
      <c r="C37" s="60"/>
    </row>
    <row r="38" spans="2:13" ht="15.6" customHeight="1" x14ac:dyDescent="0.3">
      <c r="B38" s="70" t="s">
        <v>36</v>
      </c>
      <c r="C38" s="97" t="s">
        <v>50</v>
      </c>
      <c r="D38" s="97"/>
      <c r="E38" s="97"/>
      <c r="F38" s="97"/>
      <c r="G38" s="97"/>
      <c r="H38" s="97"/>
      <c r="I38" s="97"/>
      <c r="J38" s="97"/>
      <c r="K38" s="97"/>
      <c r="L38" s="97"/>
      <c r="M38" s="97"/>
    </row>
    <row r="39" spans="2:13" ht="9" customHeight="1" x14ac:dyDescent="0.25"/>
    <row r="40" spans="2:13" ht="13.2" customHeight="1" x14ac:dyDescent="0.25">
      <c r="B40" t="s">
        <v>44</v>
      </c>
      <c r="C40" s="98" t="s">
        <v>49</v>
      </c>
      <c r="D40" s="98"/>
      <c r="E40" s="98"/>
      <c r="F40" s="98"/>
      <c r="G40" s="98"/>
      <c r="H40" s="98"/>
      <c r="I40" s="98"/>
      <c r="J40" s="98"/>
      <c r="K40" s="98"/>
      <c r="L40" s="98"/>
      <c r="M40" s="98"/>
    </row>
    <row r="41" spans="2:13" ht="9" customHeight="1" x14ac:dyDescent="0.25"/>
    <row r="42" spans="2:13" ht="25.95" customHeight="1" x14ac:dyDescent="0.25">
      <c r="B42" t="s">
        <v>45</v>
      </c>
      <c r="C42" s="100" t="s">
        <v>78</v>
      </c>
      <c r="D42" s="99"/>
      <c r="E42" s="99"/>
      <c r="F42" s="99"/>
      <c r="G42" s="99"/>
      <c r="H42" s="99"/>
      <c r="I42" s="99"/>
      <c r="J42" s="99"/>
      <c r="K42" s="99"/>
      <c r="L42" s="99"/>
      <c r="M42" s="99"/>
    </row>
    <row r="43" spans="2:13" ht="9" customHeight="1" x14ac:dyDescent="0.25"/>
    <row r="44" spans="2:13" ht="13.2" customHeight="1" x14ac:dyDescent="0.25">
      <c r="B44" t="s">
        <v>46</v>
      </c>
      <c r="C44" s="100" t="s">
        <v>82</v>
      </c>
      <c r="D44" s="99"/>
      <c r="E44" s="99"/>
      <c r="F44" s="99"/>
      <c r="G44" s="99"/>
      <c r="H44" s="99"/>
      <c r="I44" s="99"/>
      <c r="J44" s="99"/>
      <c r="K44" s="99"/>
      <c r="L44" s="99"/>
      <c r="M44" s="99"/>
    </row>
    <row r="46" spans="2:13" ht="25.2" customHeight="1" x14ac:dyDescent="0.25">
      <c r="B46" t="s">
        <v>47</v>
      </c>
      <c r="C46" s="100" t="s">
        <v>80</v>
      </c>
      <c r="D46" s="99"/>
      <c r="E46" s="99"/>
      <c r="F46" s="99"/>
      <c r="G46" s="99"/>
      <c r="H46" s="99"/>
      <c r="I46" s="99"/>
      <c r="J46" s="99"/>
      <c r="K46" s="99"/>
      <c r="L46" s="99"/>
      <c r="M46" s="99"/>
    </row>
    <row r="48" spans="2:13" ht="13.2" customHeight="1" x14ac:dyDescent="0.25">
      <c r="B48" t="s">
        <v>48</v>
      </c>
      <c r="C48" s="100" t="s">
        <v>79</v>
      </c>
      <c r="D48" s="99"/>
      <c r="E48" s="99"/>
      <c r="F48" s="99"/>
      <c r="G48" s="99"/>
      <c r="H48" s="99"/>
      <c r="I48" s="99"/>
      <c r="J48" s="99"/>
      <c r="K48" s="99"/>
      <c r="L48" s="99"/>
      <c r="M48" s="99"/>
    </row>
    <row r="50" spans="3:10" ht="21.75" customHeight="1" x14ac:dyDescent="0.25">
      <c r="C50" s="103" t="str">
        <f>+Lincoln!C48</f>
        <v>***Note the TPAF rate is the 2017-18  actual rate of 23.85% per the July 26, 2018 letter from the Division of Finance.***</v>
      </c>
      <c r="D50" s="104"/>
      <c r="E50" s="104"/>
      <c r="F50" s="104"/>
      <c r="G50" s="104"/>
      <c r="H50" s="104"/>
      <c r="I50" s="104"/>
      <c r="J50" s="104"/>
    </row>
  </sheetData>
  <mergeCells count="14">
    <mergeCell ref="A17:A19"/>
    <mergeCell ref="C42:M42"/>
    <mergeCell ref="C44:M44"/>
    <mergeCell ref="C46:M46"/>
    <mergeCell ref="C50:J50"/>
    <mergeCell ref="C32:D32"/>
    <mergeCell ref="C38:M38"/>
    <mergeCell ref="C40:M40"/>
    <mergeCell ref="C48:M48"/>
    <mergeCell ref="C1:M1"/>
    <mergeCell ref="C2:M2"/>
    <mergeCell ref="D5:G5"/>
    <mergeCell ref="I5:K5"/>
    <mergeCell ref="C30:D30"/>
  </mergeCells>
  <phoneticPr fontId="0" type="noConversion"/>
  <printOptions horizontalCentered="1" verticalCentered="1" gridLines="1"/>
  <pageMargins left="0.5" right="0.5" top="0.75" bottom="0.75" header="0.5" footer="0.5"/>
  <pageSetup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Summary</vt:lpstr>
      <vt:lpstr>Lincoln</vt:lpstr>
      <vt:lpstr>Washington</vt:lpstr>
      <vt:lpstr>Lincoln!Print_Area</vt:lpstr>
      <vt:lpstr>Washington!Print_Area</vt:lpstr>
    </vt:vector>
  </TitlesOfParts>
  <Company>New Jersey Dept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kvogeley</dc:creator>
  <cp:lastModifiedBy>plagaren</cp:lastModifiedBy>
  <cp:lastPrinted>2015-04-07T14:11:37Z</cp:lastPrinted>
  <dcterms:created xsi:type="dcterms:W3CDTF">2000-06-07T15:46:07Z</dcterms:created>
  <dcterms:modified xsi:type="dcterms:W3CDTF">2018-09-17T14:44:51Z</dcterms:modified>
</cp:coreProperties>
</file>